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naliz\07. Аналитика\Выпуски еврооблигаций\"/>
    </mc:Choice>
  </mc:AlternateContent>
  <bookViews>
    <workbookView xWindow="-5340" yWindow="285" windowWidth="14715" windowHeight="5910" tabRatio="926"/>
  </bookViews>
  <sheets>
    <sheet name="Sovcombank" sheetId="27" r:id="rId1"/>
    <sheet name="NIM" sheetId="29" r:id="rId2"/>
    <sheet name="COR" sheetId="32" r:id="rId3"/>
    <sheet name="COF" sheetId="31" r:id="rId4"/>
    <sheet name="Yield" sheetId="38" r:id="rId5"/>
    <sheet name="Stage 3" sheetId="30" r:id="rId6"/>
    <sheet name="Per Share" sheetId="6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2" localSheetId="2" hidden="1">#REF!</definedName>
    <definedName name="_2" localSheetId="6" hidden="1">#REF!</definedName>
    <definedName name="_2" localSheetId="5" hidden="1">#REF!</definedName>
    <definedName name="_2" hidden="1">#REF!</definedName>
    <definedName name="_90_days_past_due_gross_loans_Alfa" localSheetId="2">#REF!</definedName>
    <definedName name="_90_days_past_due_gross_loans_Alfa" localSheetId="6">#REF!</definedName>
    <definedName name="_90_days_past_due_gross_loans_Alfa" localSheetId="5">#REF!</definedName>
    <definedName name="_90_days_past_due_gross_loans_Alfa">#REF!</definedName>
    <definedName name="_90_days_past_due_gross_loans_CBM" localSheetId="2">#REF!</definedName>
    <definedName name="_90_days_past_due_gross_loans_CBM" localSheetId="6">#REF!</definedName>
    <definedName name="_90_days_past_due_gross_loans_CBM" localSheetId="5">#REF!</definedName>
    <definedName name="_90_days_past_due_gross_loans_CBM">#REF!</definedName>
    <definedName name="_90_days_past_due_gross_loans_HCFB" localSheetId="6">#REF!</definedName>
    <definedName name="_90_days_past_due_gross_loans_HCFB">#REF!</definedName>
    <definedName name="_90_days_past_due_gross_loans_PSB" localSheetId="6">#REF!</definedName>
    <definedName name="_90_days_past_due_gross_loans_PSB">#REF!</definedName>
    <definedName name="_90_days_past_due_gross_loans_RS" localSheetId="6">#REF!</definedName>
    <definedName name="_90_days_past_due_gross_loans_RS">#REF!</definedName>
    <definedName name="_90_days_past_due_gross_loans_SBR" localSheetId="6">#REF!</definedName>
    <definedName name="_90_days_past_due_gross_loans_SBR">#REF!</definedName>
    <definedName name="_90_days_past_due_gross_loans_tcs" localSheetId="6">#REF!</definedName>
    <definedName name="_90_days_past_due_gross_loans_tcs">#REF!</definedName>
    <definedName name="_90DPD_NPL_Ratio_Alfa" localSheetId="6">#REF!</definedName>
    <definedName name="_90DPD_NPL_Ratio_Alfa">#REF!</definedName>
    <definedName name="_90DPD_NPL_Ratio_CBM" localSheetId="6">#REF!</definedName>
    <definedName name="_90DPD_NPL_Ratio_CBM">#REF!</definedName>
    <definedName name="_90DPD_NPL_Ratio_HCFB" localSheetId="6">#REF!</definedName>
    <definedName name="_90DPD_NPL_Ratio_HCFB">#REF!</definedName>
    <definedName name="_90DPD_NPL_Ratio_PSB" localSheetId="6">#REF!</definedName>
    <definedName name="_90DPD_NPL_Ratio_PSB">#REF!</definedName>
    <definedName name="_90DPD_NPL_Ratio_RS" localSheetId="6">#REF!</definedName>
    <definedName name="_90DPD_NPL_Ratio_RS">#REF!</definedName>
    <definedName name="_90DPD_NPL_Ratio_SBR" localSheetId="6">#REF!</definedName>
    <definedName name="_90DPD_NPL_Ratio_SBR">#REF!</definedName>
    <definedName name="_90DPD_NPL_Ratio_tcs" localSheetId="6">#REF!</definedName>
    <definedName name="_90DPD_NPL_Ratio_tcs">#REF!</definedName>
    <definedName name="_bdm.00a39497a3b9434f978e1b9375bae670.edm" localSheetId="6" hidden="1">#REF!</definedName>
    <definedName name="_bdm.00a39497a3b9434f978e1b9375bae670.edm" hidden="1">#REF!</definedName>
    <definedName name="_bdm.0aed8ad4e5f34c51bad1a2c0f0259270.edm" localSheetId="6" hidden="1">#REF!</definedName>
    <definedName name="_bdm.0aed8ad4e5f34c51bad1a2c0f0259270.edm" hidden="1">#REF!</definedName>
    <definedName name="_bdm.16bf8e5affd14ca9a3ebb056d4a3ceca.edm" localSheetId="6" hidden="1">#REF!</definedName>
    <definedName name="_bdm.16bf8e5affd14ca9a3ebb056d4a3ceca.edm" hidden="1">#REF!</definedName>
    <definedName name="_bdm.24303d858eeb465e9e5aa6cfad78ea80.edm" localSheetId="6" hidden="1">#REF!</definedName>
    <definedName name="_bdm.24303d858eeb465e9e5aa6cfad78ea80.edm" hidden="1">#REF!</definedName>
    <definedName name="_bdm.26572a5e095a433f90ddd2a2f297072c.edm" localSheetId="6" hidden="1">#REF!</definedName>
    <definedName name="_bdm.26572a5e095a433f90ddd2a2f297072c.edm" hidden="1">#REF!</definedName>
    <definedName name="_bdm.309cf30dd42a41b390ca8a5ce2bac2fc.edm" localSheetId="6" hidden="1">#REF!</definedName>
    <definedName name="_bdm.309cf30dd42a41b390ca8a5ce2bac2fc.edm" hidden="1">#REF!</definedName>
    <definedName name="_bdm.45263fa42d674ec89c467828577c40f5.edm" localSheetId="6" hidden="1">#REF!</definedName>
    <definedName name="_bdm.45263fa42d674ec89c467828577c40f5.edm" hidden="1">#REF!</definedName>
    <definedName name="_bdm.45d96b1682824710bb45f11b31a94719.edm" localSheetId="6" hidden="1">#REF!</definedName>
    <definedName name="_bdm.45d96b1682824710bb45f11b31a94719.edm" hidden="1">#REF!</definedName>
    <definedName name="_bdm.46d9a293e4b043b5a01fafbcd7f445bc.edm" localSheetId="6" hidden="1">#REF!</definedName>
    <definedName name="_bdm.46d9a293e4b043b5a01fafbcd7f445bc.edm" hidden="1">#REF!</definedName>
    <definedName name="_bdm.49b3e94b73534c2d8e2d393fe01fcdfa.edm" localSheetId="6" hidden="1">#REF!</definedName>
    <definedName name="_bdm.49b3e94b73534c2d8e2d393fe01fcdfa.edm" hidden="1">#REF!</definedName>
    <definedName name="_bdm.4b719e3ca58c4032b5731e7ccf16322c.edm" localSheetId="6" hidden="1">#REF!</definedName>
    <definedName name="_bdm.4b719e3ca58c4032b5731e7ccf16322c.edm" hidden="1">#REF!</definedName>
    <definedName name="_bdm.608add467d2a428ca29ffec38c164c39.edm" localSheetId="6" hidden="1">#REF!</definedName>
    <definedName name="_bdm.608add467d2a428ca29ffec38c164c39.edm" hidden="1">#REF!</definedName>
    <definedName name="_bdm.64bf661e74f141039f5635b300282fd1.edm" localSheetId="6" hidden="1">#REF!</definedName>
    <definedName name="_bdm.64bf661e74f141039f5635b300282fd1.edm" hidden="1">#REF!</definedName>
    <definedName name="_bdm.697bafef64c9428d89aa2e52dd421cf3.edm" localSheetId="6" hidden="1">#REF!</definedName>
    <definedName name="_bdm.697bafef64c9428d89aa2e52dd421cf3.edm" hidden="1">#REF!</definedName>
    <definedName name="_bdm.72f9ed80588842ed988119a61380b9ac.edm" localSheetId="6" hidden="1">#REF!</definedName>
    <definedName name="_bdm.72f9ed80588842ed988119a61380b9ac.edm" hidden="1">#REF!</definedName>
    <definedName name="_bdm.73de6018de0b4a0da894e1028b0d4d46.edm" localSheetId="6" hidden="1">#REF!</definedName>
    <definedName name="_bdm.73de6018de0b4a0da894e1028b0d4d46.edm" hidden="1">#REF!</definedName>
    <definedName name="_bdm.7470e29540dd4e939ac64350c49fddfa.edm" localSheetId="6" hidden="1">#REF!</definedName>
    <definedName name="_bdm.7470e29540dd4e939ac64350c49fddfa.edm" hidden="1">#REF!</definedName>
    <definedName name="_bdm.76e1a3faea694dba8531fc746e1d3a43.edm" localSheetId="6" hidden="1">#REF!</definedName>
    <definedName name="_bdm.76e1a3faea694dba8531fc746e1d3a43.edm" hidden="1">#REF!</definedName>
    <definedName name="_bdm.7834176e84c84ae5b29500454726baf2.edm" localSheetId="6" hidden="1">#REF!</definedName>
    <definedName name="_bdm.7834176e84c84ae5b29500454726baf2.edm" hidden="1">#REF!</definedName>
    <definedName name="_bdm.7afd207eaa7e425d8ccd42875af07cad.edm" localSheetId="6" hidden="1">#REF!</definedName>
    <definedName name="_bdm.7afd207eaa7e425d8ccd42875af07cad.edm" hidden="1">#REF!</definedName>
    <definedName name="_bdm.8013c7c6ca0b4ef98775fc9659b714f0.edm" localSheetId="6" hidden="1">#REF!</definedName>
    <definedName name="_bdm.8013c7c6ca0b4ef98775fc9659b714f0.edm" hidden="1">#REF!</definedName>
    <definedName name="_bdm.98250e48d4234edf8ae5fa6dda1d41d5.edm" localSheetId="6" hidden="1">#REF!</definedName>
    <definedName name="_bdm.98250e48d4234edf8ae5fa6dda1d41d5.edm" hidden="1">#REF!</definedName>
    <definedName name="_bdm.991c27abc44f445587acc1f65d592853.edm" localSheetId="6" hidden="1">#REF!</definedName>
    <definedName name="_bdm.991c27abc44f445587acc1f65d592853.edm" hidden="1">#REF!</definedName>
    <definedName name="_bdm.9f0b3ae8961f43e994fc31df10ca8292.edm" localSheetId="6" hidden="1">#REF!</definedName>
    <definedName name="_bdm.9f0b3ae8961f43e994fc31df10ca8292.edm" hidden="1">#REF!</definedName>
    <definedName name="_bdm.a89f99d3061944c28109c061d1c557a8.edm" localSheetId="6" hidden="1">#REF!</definedName>
    <definedName name="_bdm.a89f99d3061944c28109c061d1c557a8.edm" hidden="1">#REF!</definedName>
    <definedName name="_bdm.b3cac9d74f8149198aaff1f969bd44ae.edm" localSheetId="6" hidden="1">#REF!</definedName>
    <definedName name="_bdm.b3cac9d74f8149198aaff1f969bd44ae.edm" hidden="1">#REF!</definedName>
    <definedName name="_bdm.b82a8d3a978d412f87cb853bc059c80a.edm" localSheetId="6" hidden="1">#REF!</definedName>
    <definedName name="_bdm.b82a8d3a978d412f87cb853bc059c80a.edm" hidden="1">#REF!</definedName>
    <definedName name="_bdm.bdeab25cdc47417bae7f10c90ec60ff4.edm" localSheetId="6" hidden="1">#REF!</definedName>
    <definedName name="_bdm.bdeab25cdc47417bae7f10c90ec60ff4.edm" hidden="1">#REF!</definedName>
    <definedName name="_bdm.bfb0dd05fbd244d88f882d025b7db8cf.edm" localSheetId="6" hidden="1">#REF!</definedName>
    <definedName name="_bdm.bfb0dd05fbd244d88f882d025b7db8cf.edm" hidden="1">#REF!</definedName>
    <definedName name="_bdm.c4e50dff23fc4e3b9e8183e3a349b85c.edm" localSheetId="6" hidden="1">#REF!</definedName>
    <definedName name="_bdm.c4e50dff23fc4e3b9e8183e3a349b85c.edm" hidden="1">#REF!</definedName>
    <definedName name="_bdm.cc09476435284712876ee712be0d02b7.edm" localSheetId="6" hidden="1">#REF!</definedName>
    <definedName name="_bdm.cc09476435284712876ee712be0d02b7.edm" hidden="1">#REF!</definedName>
    <definedName name="_bdm.cc9f6d283cdf4b73b184cfb8921f3b02.edm" localSheetId="6" hidden="1">#REF!</definedName>
    <definedName name="_bdm.cc9f6d283cdf4b73b184cfb8921f3b02.edm" hidden="1">#REF!</definedName>
    <definedName name="_bdm.d35bef1ed68a404e9d623003882aaa24.edm" localSheetId="6" hidden="1">#REF!</definedName>
    <definedName name="_bdm.d35bef1ed68a404e9d623003882aaa24.edm" hidden="1">#REF!</definedName>
    <definedName name="_bdm.e40746ec7ee84956bdd5493920f5410e.edm" localSheetId="6" hidden="1">#REF!</definedName>
    <definedName name="_bdm.e40746ec7ee84956bdd5493920f5410e.edm" hidden="1">#REF!</definedName>
    <definedName name="_bdm.e8810643722b4c68ba9a19676edfe243.edm" localSheetId="6" hidden="1">#REF!</definedName>
    <definedName name="_bdm.e8810643722b4c68ba9a19676edfe243.edm" hidden="1">#REF!</definedName>
    <definedName name="_bdm.eb22bf07b60345418c50c02bcd4c4df3.edm" localSheetId="6" hidden="1">#REF!</definedName>
    <definedName name="_bdm.eb22bf07b60345418c50c02bcd4c4df3.edm" hidden="1">#REF!</definedName>
    <definedName name="_bdm.FastTrackBookmark.7_17_2017_10_48_32_PM.edm" localSheetId="2" hidden="1">[1]Sovcombank!#REF!</definedName>
    <definedName name="_bdm.FastTrackBookmark.7_17_2017_10_48_32_PM.edm" localSheetId="6" hidden="1">[2]Sovcombank!#REF!</definedName>
    <definedName name="_bdm.FastTrackBookmark.7_17_2017_10_48_32_PM.edm" localSheetId="5" hidden="1">[1]Sovcombank!#REF!</definedName>
    <definedName name="_bdm.FastTrackBookmark.7_17_2017_10_48_32_PM.edm" hidden="1">Sovcombank!#REF!</definedName>
    <definedName name="_bdm.FastTrackBookmark.8_14_2017_12_00_10_PM.edm" localSheetId="2" hidden="1">#REF!</definedName>
    <definedName name="_bdm.FastTrackBookmark.8_14_2017_12_00_10_PM.edm" localSheetId="6" hidden="1">#REF!</definedName>
    <definedName name="_bdm.FastTrackBookmark.8_14_2017_12_00_10_PM.edm" localSheetId="5" hidden="1">#REF!</definedName>
    <definedName name="_bdm.FastTrackBookmark.8_14_2017_12_00_10_PM.edm" hidden="1">#REF!</definedName>
    <definedName name="_bdm.FastTrackBookmark.8_16_2017_4_50_18_PM.edm" localSheetId="2" hidden="1">#REF!</definedName>
    <definedName name="_bdm.FastTrackBookmark.8_16_2017_4_50_18_PM.edm" localSheetId="6" hidden="1">#REF!</definedName>
    <definedName name="_bdm.FastTrackBookmark.8_16_2017_4_50_18_PM.edm" localSheetId="5" hidden="1">#REF!</definedName>
    <definedName name="_bdm.FastTrackBookmark.8_16_2017_4_50_18_PM.edm" hidden="1">#REF!</definedName>
    <definedName name="_bdm.FastTrackBookmark.8_22_2017_11_24_26_PM.edm" localSheetId="2" hidden="1">[3]CIB!#REF!</definedName>
    <definedName name="_bdm.FastTrackBookmark.8_22_2017_11_24_26_PM.edm" localSheetId="6" hidden="1">[4]CIB!#REF!</definedName>
    <definedName name="_bdm.FastTrackBookmark.8_22_2017_11_24_26_PM.edm" localSheetId="5" hidden="1">[3]CIB!#REF!</definedName>
    <definedName name="_bdm.FastTrackBookmark.8_22_2017_11_24_26_PM.edm" hidden="1">[4]CIB!#REF!</definedName>
    <definedName name="_bdm.fe3ecac0d8054c378e5f2f5b08cb8050.edm" localSheetId="2" hidden="1">#REF!</definedName>
    <definedName name="_bdm.fe3ecac0d8054c378e5f2f5b08cb8050.edm" localSheetId="6" hidden="1">#REF!</definedName>
    <definedName name="_bdm.fe3ecac0d8054c378e5f2f5b08cb8050.edm" localSheetId="5" hidden="1">#REF!</definedName>
    <definedName name="_bdm.fe3ecac0d8054c378e5f2f5b08cb8050.edm" hidden="1">#REF!</definedName>
    <definedName name="_dd1" localSheetId="2" hidden="1">{"Valuation_Common",#N/A,FALSE,"Valuation"}</definedName>
    <definedName name="_dd1" localSheetId="6" hidden="1">{"Valuation_Common",#N/A,FALSE,"Valuation"}</definedName>
    <definedName name="_dd1" localSheetId="5" hidden="1">{"Valuation_Common",#N/A,FALSE,"Valuation"}</definedName>
    <definedName name="_dd1" hidden="1">{"Valuation_Common",#N/A,FALSE,"Valuation"}</definedName>
    <definedName name="_ee1" localSheetId="2" hidden="1">{#N/A,#N/A,FALSE,"Aging Summary";#N/A,#N/A,FALSE,"Ratio Analysis";#N/A,#N/A,FALSE,"Test 120 Day Accts";#N/A,#N/A,FALSE,"Tickmarks"}</definedName>
    <definedName name="_ee1" localSheetId="6" hidden="1">{#N/A,#N/A,FALSE,"Aging Summary";#N/A,#N/A,FALSE,"Ratio Analysis";#N/A,#N/A,FALSE,"Test 120 Day Accts";#N/A,#N/A,FALSE,"Tickmarks"}</definedName>
    <definedName name="_ee1" localSheetId="5" hidden="1">{#N/A,#N/A,FALSE,"Aging Summary";#N/A,#N/A,FALSE,"Ratio Analysis";#N/A,#N/A,FALSE,"Test 120 Day Accts";#N/A,#N/A,FALSE,"Tickmarks"}</definedName>
    <definedName name="_ee1" hidden="1">{#N/A,#N/A,FALSE,"Aging Summary";#N/A,#N/A,FALSE,"Ratio Analysis";#N/A,#N/A,FALSE,"Test 120 Day Accts";#N/A,#N/A,FALSE,"Tickmarks"}</definedName>
    <definedName name="_ee4" localSheetId="2" hidden="1">{#N/A,#N/A,FALSE,"Aging Summary";#N/A,#N/A,FALSE,"Ratio Analysis";#N/A,#N/A,FALSE,"Test 120 Day Accts";#N/A,#N/A,FALSE,"Tickmarks"}</definedName>
    <definedName name="_ee4" localSheetId="6" hidden="1">{#N/A,#N/A,FALSE,"Aging Summary";#N/A,#N/A,FALSE,"Ratio Analysis";#N/A,#N/A,FALSE,"Test 120 Day Accts";#N/A,#N/A,FALSE,"Tickmarks"}</definedName>
    <definedName name="_ee4" localSheetId="5" hidden="1">{#N/A,#N/A,FALSE,"Aging Summary";#N/A,#N/A,FALSE,"Ratio Analysis";#N/A,#N/A,FALSE,"Test 120 Day Accts";#N/A,#N/A,FALSE,"Tickmarks"}</definedName>
    <definedName name="_ee4" hidden="1">{#N/A,#N/A,FALSE,"Aging Summary";#N/A,#N/A,FALSE,"Ratio Analysis";#N/A,#N/A,FALSE,"Test 120 Day Accts";#N/A,#N/A,FALSE,"Tickmarks"}</definedName>
    <definedName name="_Fin1" localSheetId="2" hidden="1">{"Valuation_Common",#N/A,FALSE,"Valuation"}</definedName>
    <definedName name="_Fin1" localSheetId="6" hidden="1">{"Valuation_Common",#N/A,FALSE,"Valuation"}</definedName>
    <definedName name="_Fin1" localSheetId="5" hidden="1">{"Valuation_Common",#N/A,FALSE,"Valuation"}</definedName>
    <definedName name="_Fin1" hidden="1">{"Valuation_Common",#N/A,FALSE,"Valuation"}</definedName>
    <definedName name="_k" localSheetId="2" hidden="1">#REF!</definedName>
    <definedName name="_k" localSheetId="6" hidden="1">#REF!</definedName>
    <definedName name="_k" localSheetId="5" hidden="1">#REF!</definedName>
    <definedName name="_k" hidden="1">#REF!</definedName>
    <definedName name="_Key1" localSheetId="2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Order2" hidden="1">255</definedName>
    <definedName name="_Parse_In" localSheetId="2" hidden="1">#REF!</definedName>
    <definedName name="_Parse_In" localSheetId="6" hidden="1">#REF!</definedName>
    <definedName name="_Parse_In" localSheetId="5" hidden="1">#REF!</definedName>
    <definedName name="_Parse_In" hidden="1">#REF!</definedName>
    <definedName name="_pin" localSheetId="2" hidden="1">#REF!</definedName>
    <definedName name="_pin" localSheetId="6" hidden="1">#REF!</definedName>
    <definedName name="_pin" localSheetId="5" hidden="1">#REF!</definedName>
    <definedName name="_pin" hidden="1">#REF!</definedName>
    <definedName name="_PL_Commitments_prov" localSheetId="2">[5]PL!$C$23</definedName>
    <definedName name="_PL_Commitments_prov" localSheetId="5">[5]PL!$C$23</definedName>
    <definedName name="_PL_Commitments_prov">[6]PL!$C$23</definedName>
    <definedName name="_PL_Other_prov" localSheetId="2">[5]PL!$C$24</definedName>
    <definedName name="_PL_Other_prov" localSheetId="5">[5]PL!$C$24</definedName>
    <definedName name="_PL_Other_prov">[6]PL!$C$24</definedName>
    <definedName name="_PL_Prov_loans" localSheetId="2">[5]PL!$C$11</definedName>
    <definedName name="_PL_Prov_loans" localSheetId="5">[5]PL!$C$11</definedName>
    <definedName name="_PL_Prov_loans">[6]PL!$C$11</definedName>
    <definedName name="_PL_TAX" localSheetId="2">[5]PL!$C$30</definedName>
    <definedName name="_PL_TAX" localSheetId="5">[5]PL!$C$30</definedName>
    <definedName name="_PL_TAX">[6]PL!$C$30</definedName>
    <definedName name="_q7" localSheetId="2" hidden="1">{#N/A,#N/A,FALSE,"Aging Summary";#N/A,#N/A,FALSE,"Ratio Analysis";#N/A,#N/A,FALSE,"Test 120 Day Accts";#N/A,#N/A,FALSE,"Tickmarks"}</definedName>
    <definedName name="_q7" localSheetId="6" hidden="1">{#N/A,#N/A,FALSE,"Aging Summary";#N/A,#N/A,FALSE,"Ratio Analysis";#N/A,#N/A,FALSE,"Test 120 Day Accts";#N/A,#N/A,FALSE,"Tickmarks"}</definedName>
    <definedName name="_q7" localSheetId="5" hidden="1">{#N/A,#N/A,FALSE,"Aging Summary";#N/A,#N/A,FALSE,"Ratio Analysis";#N/A,#N/A,FALSE,"Test 120 Day Accts";#N/A,#N/A,FALSE,"Tickmarks"}</definedName>
    <definedName name="_q7" hidden="1">{#N/A,#N/A,FALSE,"Aging Summary";#N/A,#N/A,FALSE,"Ratio Analysis";#N/A,#N/A,FALSE,"Test 120 Day Accts";#N/A,#N/A,FALSE,"Tickmarks"}</definedName>
    <definedName name="_qq1" localSheetId="2" hidden="1">{"Valuation_Common",#N/A,FALSE,"Valuation"}</definedName>
    <definedName name="_qq1" localSheetId="6" hidden="1">{"Valuation_Common",#N/A,FALSE,"Valuation"}</definedName>
    <definedName name="_qq1" localSheetId="5" hidden="1">{"Valuation_Common",#N/A,FALSE,"Valuation"}</definedName>
    <definedName name="_qq1" hidden="1">{"Valuation_Common",#N/A,FALSE,"Valuation"}</definedName>
    <definedName name="_Sort" localSheetId="2" hidden="1">#REF!</definedName>
    <definedName name="_Sort" localSheetId="6" hidden="1">#REF!</definedName>
    <definedName name="_Sort" localSheetId="5" hidden="1">#REF!</definedName>
    <definedName name="_Sort" hidden="1">#REF!</definedName>
    <definedName name="_tcs" localSheetId="2">#REF!</definedName>
    <definedName name="_tcs" localSheetId="6">#REF!</definedName>
    <definedName name="_tcs" localSheetId="5">#REF!</definedName>
    <definedName name="_tcs">#REF!</definedName>
    <definedName name="_wrn1" localSheetId="2" hidden="1">{#N/A,#N/A,FALSE,"Aging Summary";#N/A,#N/A,FALSE,"Ratio Analysis";#N/A,#N/A,FALSE,"Test 120 Day Accts";#N/A,#N/A,FALSE,"Tickmarks"}</definedName>
    <definedName name="_wrn1" localSheetId="6" hidden="1">{#N/A,#N/A,FALSE,"Aging Summary";#N/A,#N/A,FALSE,"Ratio Analysis";#N/A,#N/A,FALSE,"Test 120 Day Accts";#N/A,#N/A,FALSE,"Tickmarks"}</definedName>
    <definedName name="_wrn1" localSheetId="5" hidden="1">{#N/A,#N/A,FALSE,"Aging Summary";#N/A,#N/A,FALSE,"Ratio Analysis";#N/A,#N/A,FALSE,"Test 120 Day Accts";#N/A,#N/A,FALSE,"Tickmarks"}</definedName>
    <definedName name="_wrn1" hidden="1">{#N/A,#N/A,FALSE,"Aging Summary";#N/A,#N/A,FALSE,"Ratio Analysis";#N/A,#N/A,FALSE,"Test 120 Day Accts";#N/A,#N/A,FALSE,"Tickmarks"}</definedName>
    <definedName name="aaa" localSheetId="2" hidden="1">{#N/A,#N/A,FALSE,"Aging Summary";#N/A,#N/A,FALSE,"Ratio Analysis";#N/A,#N/A,FALSE,"Test 120 Day Accts";#N/A,#N/A,FALSE,"Tickmarks"}</definedName>
    <definedName name="aaa" localSheetId="6" hidden="1">{#N/A,#N/A,FALSE,"Aging Summary";#N/A,#N/A,FALSE,"Ratio Analysis";#N/A,#N/A,FALSE,"Test 120 Day Accts";#N/A,#N/A,FALSE,"Tickmarks"}</definedName>
    <definedName name="aaa" localSheetId="5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0" localSheetId="2" hidden="1">{#N/A,#N/A,FALSE,"Aging Summary";#N/A,#N/A,FALSE,"Ratio Analysis";#N/A,#N/A,FALSE,"Test 120 Day Accts";#N/A,#N/A,FALSE,"Tickmarks"}</definedName>
    <definedName name="aaa0" localSheetId="6" hidden="1">{#N/A,#N/A,FALSE,"Aging Summary";#N/A,#N/A,FALSE,"Ratio Analysis";#N/A,#N/A,FALSE,"Test 120 Day Accts";#N/A,#N/A,FALSE,"Tickmarks"}</definedName>
    <definedName name="aaa0" localSheetId="5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6" hidden="1">{#N/A,#N/A,FALSE,"Aging Summary";#N/A,#N/A,FALSE,"Ratio Analysis";#N/A,#N/A,FALSE,"Test 120 Day Accts";#N/A,#N/A,FALSE,"Tickmarks"}</definedName>
    <definedName name="abc" localSheetId="5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_name_26" localSheetId="6">[7]Отч.26!#REF!</definedName>
    <definedName name="acc_name_26">[7]Отч.26!#REF!</definedName>
    <definedName name="acc_name_90908" localSheetId="6">[7]Отч.26!#REF!</definedName>
    <definedName name="acc_name_90908">[7]Отч.26!#REF!</definedName>
    <definedName name="acc_name_91302" localSheetId="6">[7]Отч.26!#REF!</definedName>
    <definedName name="acc_name_91302">[7]Отч.26!#REF!</definedName>
    <definedName name="acc_name_91309" localSheetId="6">[7]Отч.26!#REF!</definedName>
    <definedName name="acc_name_91309">[7]Отч.26!#REF!</definedName>
    <definedName name="acc_name_91404" localSheetId="6">[7]Отч.26!#REF!</definedName>
    <definedName name="acc_name_91404">[7]Отч.26!#REF!</definedName>
    <definedName name="AccessDatabase" hidden="1">"L:\k338\TATA\Plan041198.mdb"</definedName>
    <definedName name="Adj._RoAA_Alfa" localSheetId="2">#REF!</definedName>
    <definedName name="Adj._RoAA_Alfa" localSheetId="6">#REF!</definedName>
    <definedName name="Adj._RoAA_Alfa" localSheetId="5">#REF!</definedName>
    <definedName name="Adj._RoAA_Alfa">#REF!</definedName>
    <definedName name="Adj._RoAA_CBM" localSheetId="2">#REF!</definedName>
    <definedName name="Adj._RoAA_CBM" localSheetId="6">#REF!</definedName>
    <definedName name="Adj._RoAA_CBM" localSheetId="5">#REF!</definedName>
    <definedName name="Adj._RoAA_CBM">#REF!</definedName>
    <definedName name="Adj._RoAA_HCFB" localSheetId="2">#REF!</definedName>
    <definedName name="Adj._RoAA_HCFB" localSheetId="6">#REF!</definedName>
    <definedName name="Adj._RoAA_HCFB" localSheetId="5">#REF!</definedName>
    <definedName name="Adj._RoAA_HCFB">#REF!</definedName>
    <definedName name="Adj._RoAA_PSB" localSheetId="6">#REF!</definedName>
    <definedName name="Adj._RoAA_PSB">#REF!</definedName>
    <definedName name="Adj._RoAA_RS" localSheetId="6">#REF!</definedName>
    <definedName name="Adj._RoAA_RS">#REF!</definedName>
    <definedName name="Adj._RoAA_SBR" localSheetId="6">#REF!</definedName>
    <definedName name="Adj._RoAA_SBR">#REF!</definedName>
    <definedName name="Adj._RoAA_tcs" localSheetId="6">#REF!</definedName>
    <definedName name="Adj._RoAA_tcs">#REF!</definedName>
    <definedName name="Adj._RoAE_Alfa" localSheetId="6">#REF!</definedName>
    <definedName name="Adj._RoAE_Alfa">#REF!</definedName>
    <definedName name="Adj._RoAE_CBM" localSheetId="6">#REF!</definedName>
    <definedName name="Adj._RoAE_CBM">#REF!</definedName>
    <definedName name="Adj._RoAE_HCFB" localSheetId="6">#REF!</definedName>
    <definedName name="Adj._RoAE_HCFB">#REF!</definedName>
    <definedName name="Adj._RoAE_PSB" localSheetId="6">#REF!</definedName>
    <definedName name="Adj._RoAE_PSB">#REF!</definedName>
    <definedName name="Adj._RoAE_RS" localSheetId="6">#REF!</definedName>
    <definedName name="Adj._RoAE_RS">#REF!</definedName>
    <definedName name="Adj._RoAE_SBR" localSheetId="6">#REF!</definedName>
    <definedName name="Adj._RoAE_SBR">#REF!</definedName>
    <definedName name="Adj._RoAE_tcs" localSheetId="6">#REF!</definedName>
    <definedName name="Adj._RoAE_tcs">#REF!</definedName>
    <definedName name="Adj_NI_PSB" localSheetId="6">#REF!</definedName>
    <definedName name="Adj_NI_PSB">#REF!</definedName>
    <definedName name="Adjusted_Cost___Income_Alfa" localSheetId="6">#REF!</definedName>
    <definedName name="Adjusted_Cost___Income_Alfa">#REF!</definedName>
    <definedName name="Adjusted_Cost___Income_CBM" localSheetId="6">#REF!</definedName>
    <definedName name="Adjusted_Cost___Income_CBM">#REF!</definedName>
    <definedName name="Adjusted_Cost___Income_HCFB" localSheetId="6">#REF!</definedName>
    <definedName name="Adjusted_Cost___Income_HCFB">#REF!</definedName>
    <definedName name="Adjusted_Cost___Income_PSB" localSheetId="6">#REF!</definedName>
    <definedName name="Adjusted_Cost___Income_PSB">#REF!</definedName>
    <definedName name="Adjusted_Cost___Income_RS" localSheetId="6">#REF!</definedName>
    <definedName name="Adjusted_Cost___Income_RS">#REF!</definedName>
    <definedName name="Adjusted_Cost___Income_SBR" localSheetId="6">#REF!</definedName>
    <definedName name="Adjusted_Cost___Income_SBR">#REF!</definedName>
    <definedName name="Adjusted_Cost___Income_tcs" localSheetId="6">#REF!</definedName>
    <definedName name="Adjusted_Cost___Income_tcs">#REF!</definedName>
    <definedName name="Adjusted_net_income_attributable_to_shareholders_Alfa" localSheetId="6">#REF!</definedName>
    <definedName name="Adjusted_net_income_attributable_to_shareholders_Alfa">#REF!</definedName>
    <definedName name="Adjusted_net_income_attributable_to_shareholders_CBM" localSheetId="6">#REF!</definedName>
    <definedName name="Adjusted_net_income_attributable_to_shareholders_CBM">#REF!</definedName>
    <definedName name="Adjusted_net_income_attributable_to_shareholders_HCFB" localSheetId="6">#REF!</definedName>
    <definedName name="Adjusted_net_income_attributable_to_shareholders_HCFB">#REF!</definedName>
    <definedName name="Adjusted_net_income_attributable_to_shareholders_PSB" localSheetId="6">#REF!</definedName>
    <definedName name="Adjusted_net_income_attributable_to_shareholders_PSB">#REF!</definedName>
    <definedName name="Adjusted_net_income_attributable_to_shareholders_RS" localSheetId="6">#REF!</definedName>
    <definedName name="Adjusted_net_income_attributable_to_shareholders_RS">#REF!</definedName>
    <definedName name="Adjusted_net_income_attributable_to_shareholders_SBR" localSheetId="6">#REF!</definedName>
    <definedName name="Adjusted_net_income_attributable_to_shareholders_SBR">#REF!</definedName>
    <definedName name="Adjusted_net_income_attributable_to_shareholders_tcs" localSheetId="6">#REF!</definedName>
    <definedName name="Adjusted_net_income_attributable_to_shareholders_tcs">#REF!</definedName>
    <definedName name="after_table_74" localSheetId="6">#REF!</definedName>
    <definedName name="after_table_74">#REF!</definedName>
    <definedName name="analysis" localSheetId="2" hidden="1">{#N/A,#N/A,FALSE,"Aging Summary";#N/A,#N/A,FALSE,"Ratio Analysis";#N/A,#N/A,FALSE,"Test 120 Day Accts";#N/A,#N/A,FALSE,"Tickmarks"}</definedName>
    <definedName name="analysis" localSheetId="6" hidden="1">{#N/A,#N/A,FALSE,"Aging Summary";#N/A,#N/A,FALSE,"Ratio Analysis";#N/A,#N/A,FALSE,"Test 120 Day Accts";#N/A,#N/A,FALSE,"Tickmarks"}</definedName>
    <definedName name="analysis" localSheetId="5" hidden="1">{#N/A,#N/A,FALSE,"Aging Summary";#N/A,#N/A,FALSE,"Ratio Analysis";#N/A,#N/A,FALSE,"Test 120 Day Accts";#N/A,#N/A,FALSE,"Tickmarks"}</definedName>
    <definedName name="analysis" hidden="1">{#N/A,#N/A,FALSE,"Aging Summary";#N/A,#N/A,FALSE,"Ratio Analysis";#N/A,#N/A,FALSE,"Test 120 Day Accts";#N/A,#N/A,FALSE,"Tickmarks"}</definedName>
    <definedName name="Analysis3" localSheetId="2" hidden="1">{#N/A,#N/A,FALSE,"Aging Summary";#N/A,#N/A,FALSE,"Ratio Analysis";#N/A,#N/A,FALSE,"Test 120 Day Accts";#N/A,#N/A,FALSE,"Tickmarks"}</definedName>
    <definedName name="Analysis3" localSheetId="6" hidden="1">{#N/A,#N/A,FALSE,"Aging Summary";#N/A,#N/A,FALSE,"Ratio Analysis";#N/A,#N/A,FALSE,"Test 120 Day Accts";#N/A,#N/A,FALSE,"Tickmarks"}</definedName>
    <definedName name="Analysis3" localSheetId="5" hidden="1">{#N/A,#N/A,FALSE,"Aging Summary";#N/A,#N/A,FALSE,"Ratio Analysis";#N/A,#N/A,FALSE,"Test 120 Day Accts";#N/A,#N/A,FALSE,"Tickmarks"}</definedName>
    <definedName name="Analysis3" hidden="1">{#N/A,#N/A,FALSE,"Aging Summary";#N/A,#N/A,FALSE,"Ratio Analysis";#N/A,#N/A,FALSE,"Test 120 Day Accts";#N/A,#N/A,FALSE,"Tickmarks"}</definedName>
    <definedName name="Analysys1" localSheetId="2" hidden="1">{#N/A,#N/A,FALSE,"Aging Summary";#N/A,#N/A,FALSE,"Ratio Analysis";#N/A,#N/A,FALSE,"Test 120 Day Accts";#N/A,#N/A,FALSE,"Tickmarks"}</definedName>
    <definedName name="Analysys1" localSheetId="6" hidden="1">{#N/A,#N/A,FALSE,"Aging Summary";#N/A,#N/A,FALSE,"Ratio Analysis";#N/A,#N/A,FALSE,"Test 120 Day Accts";#N/A,#N/A,FALSE,"Tickmarks"}</definedName>
    <definedName name="Analysys1" localSheetId="5" hidden="1">{#N/A,#N/A,FALSE,"Aging Summary";#N/A,#N/A,FALSE,"Ratio Analysis";#N/A,#N/A,FALSE,"Test 120 Day Accts";#N/A,#N/A,FALSE,"Tickmarks"}</definedName>
    <definedName name="Analysys1" hidden="1">{#N/A,#N/A,FALSE,"Aging Summary";#N/A,#N/A,FALSE,"Ratio Analysis";#N/A,#N/A,FALSE,"Test 120 Day Accts";#N/A,#N/A,FALSE,"Tickmarks"}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localSheetId="2" hidden="1">#REF!</definedName>
    <definedName name="AS2TickmarkLS" localSheetId="6" hidden="1">#REF!</definedName>
    <definedName name="AS2TickmarkLS" localSheetId="5" hidden="1">#REF!</definedName>
    <definedName name="AS2TickmarkLS" hidden="1">#REF!</definedName>
    <definedName name="AS2VersionLS" hidden="1">300</definedName>
    <definedName name="asd" localSheetId="2" hidden="1">#REF!</definedName>
    <definedName name="asd" localSheetId="6" hidden="1">#REF!</definedName>
    <definedName name="asd" localSheetId="5" hidden="1">#REF!</definedName>
    <definedName name="asd" hidden="1">#REF!</definedName>
    <definedName name="b" localSheetId="2" hidden="1">{#N/A,#N/A,FALSE,"Aging Summary";#N/A,#N/A,FALSE,"Ratio Analysis";#N/A,#N/A,FALSE,"Test 120 Day Accts";#N/A,#N/A,FALSE,"Tickmarks"}</definedName>
    <definedName name="b" localSheetId="6" hidden="1">{#N/A,#N/A,FALSE,"Aging Summary";#N/A,#N/A,FALSE,"Ratio Analysis";#N/A,#N/A,FALSE,"Test 120 Day Accts";#N/A,#N/A,FALSE,"Tickmarks"}</definedName>
    <definedName name="b" localSheetId="5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ank_code" localSheetId="2">#REF!</definedName>
    <definedName name="bank_code" localSheetId="6">#REF!</definedName>
    <definedName name="bank_code" localSheetId="5">#REF!</definedName>
    <definedName name="bank_code">#REF!</definedName>
    <definedName name="Basel_1__2_or_3?_Alfa" localSheetId="2">#REF!</definedName>
    <definedName name="Basel_1__2_or_3?_Alfa" localSheetId="6">#REF!</definedName>
    <definedName name="Basel_1__2_or_3?_Alfa" localSheetId="5">#REF!</definedName>
    <definedName name="Basel_1__2_or_3?_Alfa">#REF!</definedName>
    <definedName name="Basel_1__2_or_3?_CBM" localSheetId="2">#REF!</definedName>
    <definedName name="Basel_1__2_or_3?_CBM" localSheetId="6">#REF!</definedName>
    <definedName name="Basel_1__2_or_3?_CBM" localSheetId="5">#REF!</definedName>
    <definedName name="Basel_1__2_or_3?_CBM">#REF!</definedName>
    <definedName name="Basel_1__2_or_3?_HCFB" localSheetId="6">#REF!</definedName>
    <definedName name="Basel_1__2_or_3?_HCFB">#REF!</definedName>
    <definedName name="Basel_1__2_or_3?_PSB" localSheetId="6">#REF!</definedName>
    <definedName name="Basel_1__2_or_3?_PSB">#REF!</definedName>
    <definedName name="Basel_1__2_or_3?_RS" localSheetId="6">#REF!</definedName>
    <definedName name="Basel_1__2_or_3?_RS">#REF!</definedName>
    <definedName name="Basel_1__2_or_3?_tcs" localSheetId="6">#REF!</definedName>
    <definedName name="Basel_1__2_or_3?_tcs">#REF!</definedName>
    <definedName name="bb" localSheetId="2" hidden="1">{#N/A,#N/A,FALSE,"Aging Summary";#N/A,#N/A,FALSE,"Ratio Analysis";#N/A,#N/A,FALSE,"Test 120 Day Accts";#N/A,#N/A,FALSE,"Tickmarks"}</definedName>
    <definedName name="bb" localSheetId="6" hidden="1">{#N/A,#N/A,FALSE,"Aging Summary";#N/A,#N/A,FALSE,"Ratio Analysis";#N/A,#N/A,FALSE,"Test 120 Day Accts";#N/A,#N/A,FALSE,"Tickmarks"}</definedName>
    <definedName name="bb" localSheetId="5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b" localSheetId="2" hidden="1">{#N/A,#N/A,FALSE,"Aging Summary";#N/A,#N/A,FALSE,"Ratio Analysis";#N/A,#N/A,FALSE,"Test 120 Day Accts";#N/A,#N/A,FALSE,"Tickmarks"}</definedName>
    <definedName name="bbb" localSheetId="6" hidden="1">{#N/A,#N/A,FALSE,"Aging Summary";#N/A,#N/A,FALSE,"Ratio Analysis";#N/A,#N/A,FALSE,"Test 120 Day Accts";#N/A,#N/A,FALSE,"Tickmarks"}</definedName>
    <definedName name="bbb" localSheetId="5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c_billstat" localSheetId="2">#REF!</definedName>
    <definedName name="c_billstat" localSheetId="6">#REF!</definedName>
    <definedName name="c_billstat" localSheetId="5">#REF!</definedName>
    <definedName name="c_billstat">#REF!</definedName>
    <definedName name="c_billstate" localSheetId="2">#REF!</definedName>
    <definedName name="c_billstate" localSheetId="6">#REF!</definedName>
    <definedName name="c_billstate" localSheetId="5">#REF!</definedName>
    <definedName name="c_billstate">#REF!</definedName>
    <definedName name="c_riskgroup_26" localSheetId="2">[7]Отч.26!#REF!</definedName>
    <definedName name="c_riskgroup_26" localSheetId="6">[7]Отч.26!#REF!</definedName>
    <definedName name="c_riskgroup_26" localSheetId="5">[7]Отч.26!#REF!</definedName>
    <definedName name="c_riskgroup_26">[7]Отч.26!#REF!</definedName>
    <definedName name="c_riskgroup_risk" localSheetId="2">[7]Отч.8!#REF!</definedName>
    <definedName name="c_riskgroup_risk" localSheetId="6">[7]Отч.8!#REF!</definedName>
    <definedName name="c_riskgroup_risk" localSheetId="5">[7]Отч.8!#REF!</definedName>
    <definedName name="c_riskgroup_risk">[7]Отч.8!#REF!</definedName>
    <definedName name="ChartCaptions" localSheetId="2">#REF!</definedName>
    <definedName name="ChartCaptions" localSheetId="6">#REF!</definedName>
    <definedName name="ChartCaptions" localSheetId="5">#REF!</definedName>
    <definedName name="ChartCaptions">#REF!</definedName>
    <definedName name="ChartCaptions2" localSheetId="2">#REF!</definedName>
    <definedName name="ChartCaptions2" localSheetId="6">#REF!</definedName>
    <definedName name="ChartCaptions2" localSheetId="5">#REF!</definedName>
    <definedName name="ChartCaptions2">#REF!</definedName>
    <definedName name="ChartingArea" localSheetId="2">#REF!,#REF!</definedName>
    <definedName name="ChartingArea" localSheetId="6">#REF!,#REF!</definedName>
    <definedName name="ChartingArea" localSheetId="5">#REF!,#REF!</definedName>
    <definedName name="ChartingArea">#REF!,#REF!</definedName>
    <definedName name="ChartingLabels" localSheetId="2">#REF!</definedName>
    <definedName name="ChartingLabels" localSheetId="6">#REF!</definedName>
    <definedName name="ChartingLabels" localSheetId="5">#REF!</definedName>
    <definedName name="ChartingLabels">#REF!</definedName>
    <definedName name="CIQWBGuid" hidden="1">"c02a8720-9df8-46ae-a9a0-3fca9bb30064"</definedName>
    <definedName name="CK_BS" localSheetId="2">[8]BS!#REF!</definedName>
    <definedName name="CK_BS" localSheetId="6">[8]BS!#REF!</definedName>
    <definedName name="CK_BS" localSheetId="5">[8]BS!#REF!</definedName>
    <definedName name="CK_BS">[8]BS!#REF!</definedName>
    <definedName name="CK_calc" localSheetId="2">[8]BS!#REF!</definedName>
    <definedName name="CK_calc" localSheetId="6">[8]BS!#REF!</definedName>
    <definedName name="CK_calc" localSheetId="5">[8]BS!#REF!</definedName>
    <definedName name="CK_calc">[8]BS!#REF!</definedName>
    <definedName name="client_26" localSheetId="2">[7]Отч.26!#REF!</definedName>
    <definedName name="client_26" localSheetId="6">[7]Отч.26!#REF!</definedName>
    <definedName name="client_26" localSheetId="5">[7]Отч.26!#REF!</definedName>
    <definedName name="client_26">[7]Отч.26!#REF!</definedName>
    <definedName name="col_12_1" localSheetId="2">#REF!</definedName>
    <definedName name="col_12_1" localSheetId="6">#REF!</definedName>
    <definedName name="col_12_1" localSheetId="5">#REF!</definedName>
    <definedName name="col_12_1">#REF!</definedName>
    <definedName name="Cost___Income_Alfa" localSheetId="2">#REF!</definedName>
    <definedName name="Cost___Income_Alfa" localSheetId="6">#REF!</definedName>
    <definedName name="Cost___Income_Alfa" localSheetId="5">#REF!</definedName>
    <definedName name="Cost___Income_Alfa">#REF!</definedName>
    <definedName name="Cost___Income_CBM" localSheetId="2">#REF!</definedName>
    <definedName name="Cost___Income_CBM" localSheetId="6">#REF!</definedName>
    <definedName name="Cost___Income_CBM" localSheetId="5">#REF!</definedName>
    <definedName name="Cost___Income_CBM">#REF!</definedName>
    <definedName name="Cost___Income_HCFB" localSheetId="6">#REF!</definedName>
    <definedName name="Cost___Income_HCFB">#REF!</definedName>
    <definedName name="Cost___Income_PSB" localSheetId="6">#REF!</definedName>
    <definedName name="Cost___Income_PSB">#REF!</definedName>
    <definedName name="Cost___Income_RS" localSheetId="6">#REF!</definedName>
    <definedName name="Cost___Income_RS">#REF!</definedName>
    <definedName name="Cost___Income_SBR" localSheetId="6">#REF!</definedName>
    <definedName name="Cost___Income_SBR">#REF!</definedName>
    <definedName name="Cost___Income_tcs" localSheetId="6">#REF!</definedName>
    <definedName name="Cost___Income_tcs">#REF!</definedName>
    <definedName name="Cost_of_Risk__LLP___Avg._Gross_Loans__Alfa" localSheetId="6">#REF!</definedName>
    <definedName name="Cost_of_Risk__LLP___Avg._Gross_Loans__Alfa">#REF!</definedName>
    <definedName name="Cost_of_Risk__LLP___Avg._Gross_Loans__CBM" localSheetId="6">#REF!</definedName>
    <definedName name="Cost_of_Risk__LLP___Avg._Gross_Loans__CBM">#REF!</definedName>
    <definedName name="Cost_of_Risk__LLP___Avg._Gross_Loans__HCFB" localSheetId="6">#REF!</definedName>
    <definedName name="Cost_of_Risk__LLP___Avg._Gross_Loans__HCFB">#REF!</definedName>
    <definedName name="Cost_of_Risk__LLP___Avg._Gross_Loans__PSB" localSheetId="6">#REF!</definedName>
    <definedName name="Cost_of_Risk__LLP___Avg._Gross_Loans__PSB">#REF!</definedName>
    <definedName name="Cost_of_Risk__LLP___Avg._Gross_Loans__RS" localSheetId="6">#REF!</definedName>
    <definedName name="Cost_of_Risk__LLP___Avg._Gross_Loans__RS">#REF!</definedName>
    <definedName name="Cost_of_Risk__LLP___Avg._Gross_Loans__SBR" localSheetId="6">#REF!</definedName>
    <definedName name="Cost_of_Risk__LLP___Avg._Gross_Loans__SBR">#REF!</definedName>
    <definedName name="Cost_of_Risk__LLP___Avg._Gross_Loans__tcs" localSheetId="6">#REF!</definedName>
    <definedName name="Cost_of_Risk__LLP___Avg._Gross_Loans__tcs">#REF!</definedName>
    <definedName name="count_vuz_12" localSheetId="6">#REF!</definedName>
    <definedName name="count_vuz_12">#REF!</definedName>
    <definedName name="Coverage_Ratio_Alfa" localSheetId="6">#REF!</definedName>
    <definedName name="Coverage_Ratio_Alfa">#REF!</definedName>
    <definedName name="Coverage_Ratio_CBM" localSheetId="6">#REF!</definedName>
    <definedName name="Coverage_Ratio_CBM">#REF!</definedName>
    <definedName name="Coverage_Ratio_HCFB" localSheetId="6">#REF!</definedName>
    <definedName name="Coverage_Ratio_HCFB">#REF!</definedName>
    <definedName name="Coverage_Ratio_PSB" localSheetId="6">#REF!</definedName>
    <definedName name="Coverage_Ratio_PSB">#REF!</definedName>
    <definedName name="Coverage_Ratio_RS" localSheetId="6">#REF!</definedName>
    <definedName name="Coverage_Ratio_RS">#REF!</definedName>
    <definedName name="Coverage_Ratio_SBR" localSheetId="6">#REF!</definedName>
    <definedName name="Coverage_Ratio_SBR">#REF!</definedName>
    <definedName name="Coverage_Ratio_tcs" localSheetId="6">#REF!</definedName>
    <definedName name="Coverage_Ratio_tcs">#REF!</definedName>
    <definedName name="Data1_1" localSheetId="2">[9]Отч.1!#REF!</definedName>
    <definedName name="Data1_1" localSheetId="6">[9]Отч.1!#REF!</definedName>
    <definedName name="Data1_1" localSheetId="5">[9]Отч.1!#REF!</definedName>
    <definedName name="Data1_1">[9]Отч.1!#REF!</definedName>
    <definedName name="date_begin_12" localSheetId="2">#REF!</definedName>
    <definedName name="date_begin_12" localSheetId="6">#REF!</definedName>
    <definedName name="date_begin_12" localSheetId="5">#REF!</definedName>
    <definedName name="date_begin_12">#REF!</definedName>
    <definedName name="date_pay_47" localSheetId="2">#REF!</definedName>
    <definedName name="date_pay_47" localSheetId="6">#REF!</definedName>
    <definedName name="date_pay_47" localSheetId="5">#REF!</definedName>
    <definedName name="date_pay_47">#REF!</definedName>
    <definedName name="date_pay_74" localSheetId="2">#REF!</definedName>
    <definedName name="date_pay_74" localSheetId="6">#REF!</definedName>
    <definedName name="date_pay_74" localSheetId="5">#REF!</definedName>
    <definedName name="date_pay_74">#REF!</definedName>
    <definedName name="date_rep_47" localSheetId="6">#REF!</definedName>
    <definedName name="date_rep_47">#REF!</definedName>
    <definedName name="date_rep_74" localSheetId="6">#REF!</definedName>
    <definedName name="date_rep_74">#REF!</definedName>
    <definedName name="date_rep_risk" localSheetId="2">[7]Отч.8!#REF!</definedName>
    <definedName name="date_rep_risk" localSheetId="6">[7]Отч.8!#REF!</definedName>
    <definedName name="date_rep_risk" localSheetId="5">[7]Отч.8!#REF!</definedName>
    <definedName name="date_rep_risk">[7]Отч.8!#REF!</definedName>
    <definedName name="date_time_74" localSheetId="2">#REF!</definedName>
    <definedName name="date_time_74" localSheetId="6">#REF!</definedName>
    <definedName name="date_time_74" localSheetId="5">#REF!</definedName>
    <definedName name="date_time_74">#REF!</definedName>
    <definedName name="date1">41518</definedName>
    <definedName name="date2">41547</definedName>
    <definedName name="dd" localSheetId="2" hidden="1">{"Valuation_Common",#N/A,FALSE,"Valuation"}</definedName>
    <definedName name="dd" localSheetId="6" hidden="1">{"Valuation_Common",#N/A,FALSE,"Valuation"}</definedName>
    <definedName name="dd" localSheetId="5" hidden="1">{"Valuation_Common",#N/A,FALSE,"Valuation"}</definedName>
    <definedName name="dd" hidden="1">{"Valuation_Common",#N/A,FALSE,"Valuation"}</definedName>
    <definedName name="Deposits_by_customers_Alfa" localSheetId="2">#REF!</definedName>
    <definedName name="Deposits_by_customers_Alfa" localSheetId="6">#REF!</definedName>
    <definedName name="Deposits_by_customers_Alfa" localSheetId="5">#REF!</definedName>
    <definedName name="Deposits_by_customers_Alfa">#REF!</definedName>
    <definedName name="Deposits_by_customers_CBM" localSheetId="2">#REF!</definedName>
    <definedName name="Deposits_by_customers_CBM" localSheetId="6">#REF!</definedName>
    <definedName name="Deposits_by_customers_CBM" localSheetId="5">#REF!</definedName>
    <definedName name="Deposits_by_customers_CBM">#REF!</definedName>
    <definedName name="Deposits_by_customers_HCFB" localSheetId="2">#REF!</definedName>
    <definedName name="Deposits_by_customers_HCFB" localSheetId="6">#REF!</definedName>
    <definedName name="Deposits_by_customers_HCFB" localSheetId="5">#REF!</definedName>
    <definedName name="Deposits_by_customers_HCFB">#REF!</definedName>
    <definedName name="Deposits_by_customers_PSB" localSheetId="6">#REF!</definedName>
    <definedName name="Deposits_by_customers_PSB">#REF!</definedName>
    <definedName name="Deposits_by_customers_RS" localSheetId="6">#REF!</definedName>
    <definedName name="Deposits_by_customers_RS">#REF!</definedName>
    <definedName name="Deposits_by_customers_SBR" localSheetId="6">#REF!</definedName>
    <definedName name="Deposits_by_customers_SBR">#REF!</definedName>
    <definedName name="Deposits_by_customers_tcs" localSheetId="6">#REF!</definedName>
    <definedName name="Deposits_by_customers_tcs">#REF!</definedName>
    <definedName name="detail_start" localSheetId="6">[7]Отч.8!#REF!</definedName>
    <definedName name="detail_start">[7]Отч.8!#REF!</definedName>
    <definedName name="detail_start_low" localSheetId="6">[7]Отч.21!#REF!</definedName>
    <definedName name="detail_start_low">[7]Отч.21!#REF!</definedName>
    <definedName name="detail_start_mid" localSheetId="6">[7]Отч.21!#REF!</definedName>
    <definedName name="detail_start_mid">[7]Отч.21!#REF!</definedName>
    <definedName name="dfgh" localSheetId="2" hidden="1">#REF!</definedName>
    <definedName name="dfgh" localSheetId="6" hidden="1">#REF!</definedName>
    <definedName name="dfgh" localSheetId="5" hidden="1">#REF!</definedName>
    <definedName name="dfgh" hidden="1">#REF!</definedName>
    <definedName name="Diff">[8]BS!$S$75:$AC$75</definedName>
    <definedName name="Diff1" localSheetId="2">[8]BS!#REF!</definedName>
    <definedName name="Diff1" localSheetId="6">[8]BS!#REF!</definedName>
    <definedName name="Diff1" localSheetId="5">[8]BS!#REF!</definedName>
    <definedName name="Diff1">[8]BS!#REF!</definedName>
    <definedName name="Diff10" localSheetId="2">[8]BS!#REF!</definedName>
    <definedName name="Diff10" localSheetId="6">[8]BS!#REF!</definedName>
    <definedName name="Diff10" localSheetId="5">[8]BS!#REF!</definedName>
    <definedName name="Diff10">[8]BS!#REF!</definedName>
    <definedName name="Diff11" localSheetId="2">[8]BS!#REF!</definedName>
    <definedName name="Diff11" localSheetId="6">[8]BS!#REF!</definedName>
    <definedName name="Diff11" localSheetId="5">[8]BS!#REF!</definedName>
    <definedName name="Diff11">[8]BS!#REF!</definedName>
    <definedName name="Diff2" localSheetId="2">[8]BS!#REF!</definedName>
    <definedName name="Diff2" localSheetId="6">[8]BS!#REF!</definedName>
    <definedName name="Diff2" localSheetId="5">[8]BS!#REF!</definedName>
    <definedName name="Diff2">[8]BS!#REF!</definedName>
    <definedName name="Diff3" localSheetId="6">[8]BS!#REF!</definedName>
    <definedName name="Diff3">[8]BS!#REF!</definedName>
    <definedName name="Diff4" localSheetId="6">[8]BS!#REF!</definedName>
    <definedName name="Diff4">[8]BS!#REF!</definedName>
    <definedName name="Diff5" localSheetId="6">[8]BS!#REF!</definedName>
    <definedName name="Diff5">[8]BS!#REF!</definedName>
    <definedName name="Diff6" localSheetId="6">[8]BS!#REF!</definedName>
    <definedName name="Diff6">[8]BS!#REF!</definedName>
    <definedName name="Diff7" localSheetId="6">[8]BS!#REF!</definedName>
    <definedName name="Diff7">[8]BS!#REF!</definedName>
    <definedName name="Diff8" localSheetId="6">[8]BS!#REF!</definedName>
    <definedName name="Diff8">[8]BS!#REF!</definedName>
    <definedName name="Diff9" localSheetId="6">[8]BS!#REF!</definedName>
    <definedName name="Diff9">[8]BS!#REF!</definedName>
    <definedName name="dis" localSheetId="2" hidden="1">{#N/A,#N/A,FALSE,"Aging Summary";#N/A,#N/A,FALSE,"Ratio Analysis";#N/A,#N/A,FALSE,"Test 120 Day Accts";#N/A,#N/A,FALSE,"Tickmarks"}</definedName>
    <definedName name="dis" localSheetId="6" hidden="1">{#N/A,#N/A,FALSE,"Aging Summary";#N/A,#N/A,FALSE,"Ratio Analysis";#N/A,#N/A,FALSE,"Test 120 Day Accts";#N/A,#N/A,FALSE,"Tickmarks"}</definedName>
    <definedName name="dis" localSheetId="5" hidden="1">{#N/A,#N/A,FALSE,"Aging Summary";#N/A,#N/A,FALSE,"Ratio Analysis";#N/A,#N/A,FALSE,"Test 120 Day Accts";#N/A,#N/A,FALSE,"Tickmarks"}</definedName>
    <definedName name="dis" hidden="1">{#N/A,#N/A,FALSE,"Aging Summary";#N/A,#N/A,FALSE,"Ratio Analysis";#N/A,#N/A,FALSE,"Test 120 Day Accts";#N/A,#N/A,FALSE,"Tickmarks"}</definedName>
    <definedName name="Discl" localSheetId="2" hidden="1">{"Valuation_Common",#N/A,FALSE,"Valuation"}</definedName>
    <definedName name="Discl" localSheetId="6" hidden="1">{"Valuation_Common",#N/A,FALSE,"Valuation"}</definedName>
    <definedName name="Discl" localSheetId="5" hidden="1">{"Valuation_Common",#N/A,FALSE,"Valuation"}</definedName>
    <definedName name="Discl" hidden="1">{"Valuation_Common",#N/A,FALSE,"Valuation"}</definedName>
    <definedName name="discl1" localSheetId="2" hidden="1">{"Valuation_Common",#N/A,FALSE,"Valuation"}</definedName>
    <definedName name="discl1" localSheetId="6" hidden="1">{"Valuation_Common",#N/A,FALSE,"Valuation"}</definedName>
    <definedName name="discl1" localSheetId="5" hidden="1">{"Valuation_Common",#N/A,FALSE,"Valuation"}</definedName>
    <definedName name="discl1" hidden="1">{"Valuation_Common",#N/A,FALSE,"Valuation"}</definedName>
    <definedName name="dsaf" localSheetId="2">#REF!</definedName>
    <definedName name="dsaf" localSheetId="6">#REF!</definedName>
    <definedName name="dsaf" localSheetId="5">#REF!</definedName>
    <definedName name="dsaf">#REF!</definedName>
    <definedName name="EBITDA_Bridge" localSheetId="2">#REF!</definedName>
    <definedName name="EBITDA_Bridge" localSheetId="6">#REF!</definedName>
    <definedName name="EBITDA_Bridge" localSheetId="5">#REF!</definedName>
    <definedName name="EBITDA_Bridge">#REF!</definedName>
    <definedName name="eeeeeeeeeeee" localSheetId="2" hidden="1">{#N/A,#N/A,FALSE,"Aging Summary";#N/A,#N/A,FALSE,"Ratio Analysis";#N/A,#N/A,FALSE,"Test 120 Day Accts";#N/A,#N/A,FALSE,"Tickmarks"}</definedName>
    <definedName name="eeeeeeeeeeee" localSheetId="6" hidden="1">{#N/A,#N/A,FALSE,"Aging Summary";#N/A,#N/A,FALSE,"Ratio Analysis";#N/A,#N/A,FALSE,"Test 120 Day Accts";#N/A,#N/A,FALSE,"Tickmarks"}</definedName>
    <definedName name="eeeeeeeeeeee" localSheetId="5" hidden="1">{#N/A,#N/A,FALSE,"Aging Summary";#N/A,#N/A,FALSE,"Ratio Analysis";#N/A,#N/A,FALSE,"Test 120 Day Accts";#N/A,#N/A,FALSE,"Tickmarks"}</definedName>
    <definedName name="eeeeeeeeeeee" hidden="1">{#N/A,#N/A,FALSE,"Aging Summary";#N/A,#N/A,FALSE,"Ratio Analysis";#N/A,#N/A,FALSE,"Test 120 Day Accts";#N/A,#N/A,FALSE,"Tickmarks"}</definedName>
    <definedName name="emitent_26" localSheetId="6">[7]Отч.26!#REF!</definedName>
    <definedName name="emitent_26">[7]Отч.26!#REF!</definedName>
    <definedName name="end_table_74" localSheetId="2">#REF!</definedName>
    <definedName name="end_table_74" localSheetId="6">#REF!</definedName>
    <definedName name="end_table_74" localSheetId="5">#REF!</definedName>
    <definedName name="end_table_74">#REF!</definedName>
    <definedName name="eur_ekv" localSheetId="6">[9]Отч.1!#REF!</definedName>
    <definedName name="eur_ekv">[9]Отч.1!#REF!</definedName>
    <definedName name="eur_stavka" localSheetId="6">[9]Отч.1!#REF!</definedName>
    <definedName name="eur_stavka">[9]Отч.1!#REF!</definedName>
    <definedName name="eur_summa" localSheetId="6">[9]Отч.1!#REF!</definedName>
    <definedName name="eur_summa">[9]Отч.1!#REF!</definedName>
    <definedName name="f_1_78" localSheetId="2">#REF!</definedName>
    <definedName name="f_1_78" localSheetId="6">#REF!</definedName>
    <definedName name="f_1_78" localSheetId="5">#REF!</definedName>
    <definedName name="f_1_78">#REF!</definedName>
    <definedName name="f_dep" localSheetId="6">[9]Отч.1!#REF!</definedName>
    <definedName name="f_dep">[9]Отч.1!#REF!</definedName>
    <definedName name="f_deptype" localSheetId="2">#REF!</definedName>
    <definedName name="f_deptype" localSheetId="6">#REF!</definedName>
    <definedName name="f_deptype" localSheetId="5">#REF!</definedName>
    <definedName name="f_deptype">#REF!</definedName>
    <definedName name="fa_name_risk" localSheetId="6">[7]Отч.8!#REF!</definedName>
    <definedName name="fa_name_risk">[7]Отч.8!#REF!</definedName>
    <definedName name="fc_firstname_risk" localSheetId="6">[7]Отч.8!#REF!</definedName>
    <definedName name="fc_firstname_risk">[7]Отч.8!#REF!</definedName>
    <definedName name="fc_name_74" localSheetId="2">#REF!</definedName>
    <definedName name="fc_name_74" localSheetId="6">#REF!</definedName>
    <definedName name="fc_name_74" localSheetId="5">#REF!</definedName>
    <definedName name="fc_name_74">#REF!</definedName>
    <definedName name="fcl_descr_74" localSheetId="2">#REF!</definedName>
    <definedName name="fcl_descr_74" localSheetId="6">#REF!</definedName>
    <definedName name="fcl_descr_74" localSheetId="5">#REF!</definedName>
    <definedName name="fcl_descr_74">#REF!</definedName>
    <definedName name="fd7_value_2_risk" localSheetId="2">[7]Отч.8!#REF!</definedName>
    <definedName name="fd7_value_2_risk" localSheetId="6">[7]Отч.8!#REF!</definedName>
    <definedName name="fd7_value_2_risk" localSheetId="5">[7]Отч.8!#REF!</definedName>
    <definedName name="fd7_value_2_risk">[7]Отч.8!#REF!</definedName>
    <definedName name="fff" localSheetId="2" hidden="1">{#N/A,#N/A,FALSE,"Aging Summary";#N/A,#N/A,FALSE,"Ratio Analysis";#N/A,#N/A,FALSE,"Test 120 Day Accts";#N/A,#N/A,FALSE,"Tickmarks"}</definedName>
    <definedName name="fff" localSheetId="6" hidden="1">{#N/A,#N/A,FALSE,"Aging Summary";#N/A,#N/A,FALSE,"Ratio Analysis";#N/A,#N/A,FALSE,"Test 120 Day Accts";#N/A,#N/A,FALSE,"Tickmarks"}</definedName>
    <definedName name="fff" localSheetId="5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ill_division">[10]!fill_division</definedName>
    <definedName name="Fin" localSheetId="2" hidden="1">{"Valuation_Common",#N/A,FALSE,"Valuation"}</definedName>
    <definedName name="Fin" localSheetId="6" hidden="1">{"Valuation_Common",#N/A,FALSE,"Valuation"}</definedName>
    <definedName name="Fin" localSheetId="5" hidden="1">{"Valuation_Common",#N/A,FALSE,"Valuation"}</definedName>
    <definedName name="Fin" hidden="1">{"Valuation_Common",#N/A,FALSE,"Valuation"}</definedName>
    <definedName name="Finance" localSheetId="2" hidden="1">{"Valuation_Common",#N/A,FALSE,"Valuation"}</definedName>
    <definedName name="Finance" localSheetId="6" hidden="1">{"Valuation_Common",#N/A,FALSE,"Valuation"}</definedName>
    <definedName name="Finance" localSheetId="5" hidden="1">{"Valuation_Common",#N/A,FALSE,"Valuation"}</definedName>
    <definedName name="Finance" hidden="1">{"Valuation_Common",#N/A,FALSE,"Valuation"}</definedName>
    <definedName name="Finance1" localSheetId="2" hidden="1">{"Valuation_Common",#N/A,FALSE,"Valuation"}</definedName>
    <definedName name="Finance1" localSheetId="6" hidden="1">{"Valuation_Common",#N/A,FALSE,"Valuation"}</definedName>
    <definedName name="Finance1" localSheetId="5" hidden="1">{"Valuation_Common",#N/A,FALSE,"Valuation"}</definedName>
    <definedName name="Finance1" hidden="1">{"Valuation_Common",#N/A,FALSE,"Valuation"}</definedName>
    <definedName name="footer_end" localSheetId="6">[7]Отч.8!#REF!</definedName>
    <definedName name="footer_end">[7]Отч.8!#REF!</definedName>
    <definedName name="fpc_value_26" localSheetId="6">[7]Отч.26!#REF!</definedName>
    <definedName name="fpc_value_26">[7]Отч.26!#REF!</definedName>
    <definedName name="fyCurrencyUnit" localSheetId="2">#REF!</definedName>
    <definedName name="fyCurrencyUnit" localSheetId="6">#REF!</definedName>
    <definedName name="fyCurrencyUnit" localSheetId="5">#REF!</definedName>
    <definedName name="fyCurrencyUnit">#REF!</definedName>
    <definedName name="ggg" localSheetId="2" hidden="1">{#N/A,#N/A,FALSE,"Aging Summary";#N/A,#N/A,FALSE,"Ratio Analysis";#N/A,#N/A,FALSE,"Test 120 Day Accts";#N/A,#N/A,FALSE,"Tickmarks"}</definedName>
    <definedName name="ggg" localSheetId="6" hidden="1">{#N/A,#N/A,FALSE,"Aging Summary";#N/A,#N/A,FALSE,"Ratio Analysis";#N/A,#N/A,FALSE,"Test 120 Day Accts";#N/A,#N/A,FALSE,"Tickmarks"}</definedName>
    <definedName name="ggg" localSheetId="5" hidden="1">{#N/A,#N/A,FALSE,"Aging Summary";#N/A,#N/A,FALSE,"Ratio Analysis";#N/A,#N/A,FALSE,"Test 120 Day Accts";#N/A,#N/A,FALSE,"Tickmarks"}</definedName>
    <definedName name="ggg" hidden="1">{#N/A,#N/A,FALSE,"Aging Summary";#N/A,#N/A,FALSE,"Ratio Analysis";#N/A,#N/A,FALSE,"Test 120 Day Accts";#N/A,#N/A,FALSE,"Tickmarks"}</definedName>
    <definedName name="ghd" localSheetId="2" hidden="1">{#N/A,#N/A,FALSE,"Aging Summary";#N/A,#N/A,FALSE,"Ratio Analysis";#N/A,#N/A,FALSE,"Test 120 Day Accts";#N/A,#N/A,FALSE,"Tickmarks"}</definedName>
    <definedName name="ghd" localSheetId="6" hidden="1">{#N/A,#N/A,FALSE,"Aging Summary";#N/A,#N/A,FALSE,"Ratio Analysis";#N/A,#N/A,FALSE,"Test 120 Day Accts";#N/A,#N/A,FALSE,"Tickmarks"}</definedName>
    <definedName name="ghd" localSheetId="5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r_1" localSheetId="6">[7]Отч.10!#REF!</definedName>
    <definedName name="gr_1">[7]Отч.10!#REF!</definedName>
    <definedName name="gr_10" localSheetId="2">#REF!</definedName>
    <definedName name="gr_10" localSheetId="6">#REF!</definedName>
    <definedName name="gr_10" localSheetId="5">#REF!</definedName>
    <definedName name="gr_10">#REF!</definedName>
    <definedName name="gr_11" localSheetId="2">#REF!</definedName>
    <definedName name="gr_11" localSheetId="6">#REF!</definedName>
    <definedName name="gr_11" localSheetId="5">#REF!</definedName>
    <definedName name="gr_11">#REF!</definedName>
    <definedName name="gr_2" localSheetId="2">[7]Отч.10!#REF!</definedName>
    <definedName name="gr_2" localSheetId="6">[7]Отч.10!#REF!</definedName>
    <definedName name="gr_2" localSheetId="5">[7]Отч.10!#REF!</definedName>
    <definedName name="gr_2">[7]Отч.10!#REF!</definedName>
    <definedName name="gr_3" localSheetId="2">[7]Отч.10!#REF!</definedName>
    <definedName name="gr_3" localSheetId="6">[7]Отч.10!#REF!</definedName>
    <definedName name="gr_3" localSheetId="5">[7]Отч.10!#REF!</definedName>
    <definedName name="gr_3">[7]Отч.10!#REF!</definedName>
    <definedName name="gr_4" localSheetId="6">[7]Отч.10!#REF!</definedName>
    <definedName name="gr_4">[7]Отч.10!#REF!</definedName>
    <definedName name="gr_5" localSheetId="6">[7]Отч.10!#REF!</definedName>
    <definedName name="gr_5">[7]Отч.10!#REF!</definedName>
    <definedName name="gr_6" localSheetId="2">#REF!</definedName>
    <definedName name="gr_6" localSheetId="6">#REF!</definedName>
    <definedName name="gr_6" localSheetId="5">#REF!</definedName>
    <definedName name="gr_6">#REF!</definedName>
    <definedName name="gr_7" localSheetId="2">#REF!</definedName>
    <definedName name="gr_7" localSheetId="6">#REF!</definedName>
    <definedName name="gr_7" localSheetId="5">#REF!</definedName>
    <definedName name="gr_7">#REF!</definedName>
    <definedName name="gr_8" localSheetId="2">#REF!</definedName>
    <definedName name="gr_8" localSheetId="6">#REF!</definedName>
    <definedName name="gr_8" localSheetId="5">#REF!</definedName>
    <definedName name="gr_8">#REF!</definedName>
    <definedName name="gr_9" localSheetId="6">#REF!</definedName>
    <definedName name="gr_9">#REF!</definedName>
    <definedName name="Gross_Loans_Alfa" localSheetId="6">#REF!</definedName>
    <definedName name="Gross_Loans_Alfa">#REF!</definedName>
    <definedName name="Gross_Loans_CBM" localSheetId="6">#REF!</definedName>
    <definedName name="Gross_Loans_CBM">#REF!</definedName>
    <definedName name="Gross_Loans_HCFB" localSheetId="6">#REF!</definedName>
    <definedName name="Gross_Loans_HCFB">#REF!</definedName>
    <definedName name="Gross_Loans_PSB" localSheetId="6">#REF!</definedName>
    <definedName name="Gross_Loans_PSB">#REF!</definedName>
    <definedName name="Gross_Loans_RS" localSheetId="6">#REF!</definedName>
    <definedName name="Gross_Loans_RS">#REF!</definedName>
    <definedName name="Gross_Loans_SBR" localSheetId="6">#REF!</definedName>
    <definedName name="Gross_Loans_SBR">#REF!</definedName>
    <definedName name="Gross_Loans_tcs" localSheetId="6">#REF!</definedName>
    <definedName name="Gross_Loans_tcs">#REF!</definedName>
    <definedName name="HTML_CodePage" hidden="1">1251</definedName>
    <definedName name="HTML_Control" localSheetId="2" hidden="1">{"'Котировки'!$A$10:$E$131"}</definedName>
    <definedName name="HTML_Control" localSheetId="6" hidden="1">{"'Котировки'!$A$10:$E$131"}</definedName>
    <definedName name="HTML_Control" localSheetId="5" hidden="1">{"'Котировки'!$A$10:$E$131"}</definedName>
    <definedName name="HTML_Control" hidden="1">{"'Котировки'!$A$10:$E$131"}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"S:\SITE\Kot_vek.htm"</definedName>
    <definedName name="HTML_PathTemplate" hidden="1">"G:\TEMP\Котировки векселей.htm"</definedName>
    <definedName name="ID_74" localSheetId="2">#REF!</definedName>
    <definedName name="ID_74" localSheetId="6">#REF!</definedName>
    <definedName name="ID_74" localSheetId="5">#REF!</definedName>
    <definedName name="ID_74">#REF!</definedName>
    <definedName name="Input1" localSheetId="2" hidden="1">{#N/A,#N/A,FALSE,"Aging Summary";#N/A,#N/A,FALSE,"Ratio Analysis";#N/A,#N/A,FALSE,"Test 120 Day Accts";#N/A,#N/A,FALSE,"Tickmarks"}</definedName>
    <definedName name="Input1" localSheetId="6" hidden="1">{#N/A,#N/A,FALSE,"Aging Summary";#N/A,#N/A,FALSE,"Ratio Analysis";#N/A,#N/A,FALSE,"Test 120 Day Accts";#N/A,#N/A,FALSE,"Tickmarks"}</definedName>
    <definedName name="Input1" localSheetId="5" hidden="1">{#N/A,#N/A,FALSE,"Aging Summary";#N/A,#N/A,FALSE,"Ratio Analysis";#N/A,#N/A,FALSE,"Test 120 Day Accts";#N/A,#N/A,FALSE,"Tickmarks"}</definedName>
    <definedName name="Input1" hidden="1">{#N/A,#N/A,FALSE,"Aging Summary";#N/A,#N/A,FALSE,"Ratio Analysis";#N/A,#N/A,FALSE,"Test 120 Day Accts";#N/A,#N/A,FALSE,"Tickmarks"}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42681.4811689815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RBA4" hidden="1">"$BA$5:$BA$9"</definedName>
    <definedName name="IQRBB4" hidden="1">"$BB$5:$BB$9"</definedName>
    <definedName name="iso_risk" localSheetId="2">[7]Отч.8!#REF!</definedName>
    <definedName name="iso_risk" localSheetId="6">[7]Отч.8!#REF!</definedName>
    <definedName name="iso_risk" localSheetId="5">[7]Отч.8!#REF!</definedName>
    <definedName name="iso_risk">[7]Отч.8!#REF!</definedName>
    <definedName name="jgjhg" localSheetId="2" hidden="1">#REF!</definedName>
    <definedName name="jgjhg" localSheetId="6" hidden="1">#REF!</definedName>
    <definedName name="jgjhg" localSheetId="5" hidden="1">#REF!</definedName>
    <definedName name="jgjhg" hidden="1">#REF!</definedName>
    <definedName name="jkjljljl" localSheetId="2" hidden="1">{#N/A,#N/A,FALSE,"FA_1";#N/A,#N/A,FALSE,"Dep'n SE";#N/A,#N/A,FALSE,"Dep'n FC"}</definedName>
    <definedName name="jkjljljl" localSheetId="6" hidden="1">{#N/A,#N/A,FALSE,"FA_1";#N/A,#N/A,FALSE,"Dep'n SE";#N/A,#N/A,FALSE,"Dep'n FC"}</definedName>
    <definedName name="jkjljljl" localSheetId="5" hidden="1">{#N/A,#N/A,FALSE,"FA_1";#N/A,#N/A,FALSE,"Dep'n SE";#N/A,#N/A,FALSE,"Dep'n FC"}</definedName>
    <definedName name="jkjljljl" hidden="1">{#N/A,#N/A,FALSE,"FA_1";#N/A,#N/A,FALSE,"Dep'n SE";#N/A,#N/A,FALSE,"Dep'n FC"}</definedName>
    <definedName name="ktzuk" localSheetId="2" hidden="1">{#N/A,#N/A,FALSE,"Aging Summary";#N/A,#N/A,FALSE,"Ratio Analysis";#N/A,#N/A,FALSE,"Test 120 Day Accts";#N/A,#N/A,FALSE,"Tickmarks"}</definedName>
    <definedName name="ktzuk" localSheetId="6" hidden="1">{#N/A,#N/A,FALSE,"Aging Summary";#N/A,#N/A,FALSE,"Ratio Analysis";#N/A,#N/A,FALSE,"Test 120 Day Accts";#N/A,#N/A,FALSE,"Tickmarks"}</definedName>
    <definedName name="ktzuk" localSheetId="5" hidden="1">{#N/A,#N/A,FALSE,"Aging Summary";#N/A,#N/A,FALSE,"Ratio Analysis";#N/A,#N/A,FALSE,"Test 120 Day Accts";#N/A,#N/A,FALSE,"Tickmarks"}</definedName>
    <definedName name="ktzuk" hidden="1">{#N/A,#N/A,FALSE,"Aging Summary";#N/A,#N/A,FALSE,"Ratio Analysis";#N/A,#N/A,FALSE,"Test 120 Day Accts";#N/A,#N/A,FALSE,"Tickmarks"}</definedName>
    <definedName name="Ku_only">[10]!Ku_only</definedName>
    <definedName name="LJHGJFHJF1" localSheetId="2" hidden="1">{"Valuation_Common",#N/A,FALSE,"Valuation"}</definedName>
    <definedName name="LJHGJFHJF1" localSheetId="6" hidden="1">{"Valuation_Common",#N/A,FALSE,"Valuation"}</definedName>
    <definedName name="LJHGJFHJF1" localSheetId="5" hidden="1">{"Valuation_Common",#N/A,FALSE,"Valuation"}</definedName>
    <definedName name="LJHGJFHJF1" hidden="1">{"Valuation_Common",#N/A,FALSE,"Valuation"}</definedName>
    <definedName name="LJHGLJFHJF" localSheetId="2" hidden="1">{"Valuation_Common",#N/A,FALSE,"Valuation"}</definedName>
    <definedName name="LJHGLJFHJF" localSheetId="6" hidden="1">{"Valuation_Common",#N/A,FALSE,"Valuation"}</definedName>
    <definedName name="LJHGLJFHJF" localSheetId="5" hidden="1">{"Valuation_Common",#N/A,FALSE,"Valuation"}</definedName>
    <definedName name="LJHGLJFHJF" hidden="1">{"Valuation_Common",#N/A,FALSE,"Valuation"}</definedName>
    <definedName name="lkj" localSheetId="2" hidden="1">{#N/A,#N/A,FALSE,"Aging Summary";#N/A,#N/A,FALSE,"Ratio Analysis";#N/A,#N/A,FALSE,"Test 120 Day Accts";#N/A,#N/A,FALSE,"Tickmarks"}</definedName>
    <definedName name="lkj" localSheetId="6" hidden="1">{#N/A,#N/A,FALSE,"Aging Summary";#N/A,#N/A,FALSE,"Ratio Analysis";#N/A,#N/A,FALSE,"Test 120 Day Accts";#N/A,#N/A,FALSE,"Tickmarks"}</definedName>
    <definedName name="lkj" localSheetId="5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oan_loss_reserves_Alfa" localSheetId="2">#REF!</definedName>
    <definedName name="Loan_loss_reserves_Alfa" localSheetId="6">#REF!</definedName>
    <definedName name="Loan_loss_reserves_Alfa" localSheetId="5">#REF!</definedName>
    <definedName name="Loan_loss_reserves_Alfa">#REF!</definedName>
    <definedName name="Loan_loss_reserves_CBM" localSheetId="2">#REF!</definedName>
    <definedName name="Loan_loss_reserves_CBM" localSheetId="6">#REF!</definedName>
    <definedName name="Loan_loss_reserves_CBM" localSheetId="5">#REF!</definedName>
    <definedName name="Loan_loss_reserves_CBM">#REF!</definedName>
    <definedName name="Loan_loss_reserves_HCFB" localSheetId="2">#REF!</definedName>
    <definedName name="Loan_loss_reserves_HCFB" localSheetId="6">#REF!</definedName>
    <definedName name="Loan_loss_reserves_HCFB" localSheetId="5">#REF!</definedName>
    <definedName name="Loan_loss_reserves_HCFB">#REF!</definedName>
    <definedName name="Loan_loss_reserves_PSB" localSheetId="6">#REF!</definedName>
    <definedName name="Loan_loss_reserves_PSB">#REF!</definedName>
    <definedName name="Loan_loss_reserves_RS" localSheetId="6">#REF!</definedName>
    <definedName name="Loan_loss_reserves_RS">#REF!</definedName>
    <definedName name="Loan_loss_reserves_SBR" localSheetId="6">#REF!</definedName>
    <definedName name="Loan_loss_reserves_SBR">#REF!</definedName>
    <definedName name="Loan_loss_reserves_tcs" localSheetId="6">#REF!</definedName>
    <definedName name="Loan_loss_reserves_tcs">#REF!</definedName>
    <definedName name="Loans___Deposits_Alfa" localSheetId="6">#REF!</definedName>
    <definedName name="Loans___Deposits_Alfa">#REF!</definedName>
    <definedName name="Loans___Deposits_CBM" localSheetId="6">#REF!</definedName>
    <definedName name="Loans___Deposits_CBM">#REF!</definedName>
    <definedName name="Loans___Deposits_HCFB" localSheetId="6">#REF!</definedName>
    <definedName name="Loans___Deposits_HCFB">#REF!</definedName>
    <definedName name="Loans___Deposits_PSB" localSheetId="6">#REF!</definedName>
    <definedName name="Loans___Deposits_PSB">#REF!</definedName>
    <definedName name="Loans___Deposits_RS" localSheetId="6">#REF!</definedName>
    <definedName name="Loans___Deposits_RS">#REF!</definedName>
    <definedName name="Loans___Deposits_SBR" localSheetId="6">#REF!</definedName>
    <definedName name="Loans___Deposits_SBR">#REF!</definedName>
    <definedName name="Loans___Deposits_tcs" localSheetId="6">#REF!</definedName>
    <definedName name="Loans___Deposits_tcs">#REF!</definedName>
    <definedName name="N1.0_Ratio_Alfa" localSheetId="6">#REF!</definedName>
    <definedName name="N1.0_Ratio_Alfa">#REF!</definedName>
    <definedName name="N1.0_Ratio_CBM" localSheetId="6">#REF!</definedName>
    <definedName name="N1.0_Ratio_CBM">#REF!</definedName>
    <definedName name="N1.0_Ratio_HCFB" localSheetId="6">#REF!</definedName>
    <definedName name="N1.0_Ratio_HCFB">#REF!</definedName>
    <definedName name="N1.0_Ratio_PSB" localSheetId="6">#REF!</definedName>
    <definedName name="N1.0_Ratio_PSB">#REF!</definedName>
    <definedName name="N1.0_Ratio_RS" localSheetId="6">#REF!</definedName>
    <definedName name="N1.0_Ratio_RS">#REF!</definedName>
    <definedName name="N1.0_Ratio_SBR" localSheetId="6">#REF!</definedName>
    <definedName name="N1.0_Ratio_SBR">#REF!</definedName>
    <definedName name="N1.0_Ratio_tcs" localSheetId="6">#REF!</definedName>
    <definedName name="N1.0_Ratio_tcs">#REF!</definedName>
    <definedName name="N1.1_Ratio_Alfa" localSheetId="6">#REF!</definedName>
    <definedName name="N1.1_Ratio_Alfa">#REF!</definedName>
    <definedName name="N1.1_Ratio_CBM" localSheetId="6">#REF!</definedName>
    <definedName name="N1.1_Ratio_CBM">#REF!</definedName>
    <definedName name="N1.1_Ratio_HCFB" localSheetId="6">#REF!</definedName>
    <definedName name="N1.1_Ratio_HCFB">#REF!</definedName>
    <definedName name="N1.1_Ratio_PSB" localSheetId="6">#REF!</definedName>
    <definedName name="N1.1_Ratio_PSB">#REF!</definedName>
    <definedName name="N1.1_Ratio_RS" localSheetId="6">#REF!</definedName>
    <definedName name="N1.1_Ratio_RS">#REF!</definedName>
    <definedName name="N1.1_Ratio_SBR" localSheetId="6">#REF!</definedName>
    <definedName name="N1.1_Ratio_SBR">#REF!</definedName>
    <definedName name="N1.1_Ratio_tcs" localSheetId="6">#REF!</definedName>
    <definedName name="N1.1_Ratio_tcs">#REF!</definedName>
    <definedName name="N1.2_Ratio_Alfa" localSheetId="6">#REF!</definedName>
    <definedName name="N1.2_Ratio_Alfa">#REF!</definedName>
    <definedName name="N1.2_Ratio_CBM" localSheetId="6">#REF!</definedName>
    <definedName name="N1.2_Ratio_CBM">#REF!</definedName>
    <definedName name="N1.2_Ratio_HCFB" localSheetId="6">#REF!</definedName>
    <definedName name="N1.2_Ratio_HCFB">#REF!</definedName>
    <definedName name="N1.2_Ratio_PSB" localSheetId="6">#REF!</definedName>
    <definedName name="N1.2_Ratio_PSB">#REF!</definedName>
    <definedName name="N1.2_Ratio_RS" localSheetId="6">#REF!</definedName>
    <definedName name="N1.2_Ratio_RS">#REF!</definedName>
    <definedName name="N1.2_Ratio_SBR" localSheetId="6">#REF!</definedName>
    <definedName name="N1.2_Ratio_SBR">#REF!</definedName>
    <definedName name="N1.2_Ratio_tcs" localSheetId="6">#REF!</definedName>
    <definedName name="N1.2_Ratio_tcs">#REF!</definedName>
    <definedName name="name" localSheetId="2" hidden="1">{#N/A,#N/A,FALSE,"Aging Summary";#N/A,#N/A,FALSE,"Ratio Analysis";#N/A,#N/A,FALSE,"Test 120 Day Accts";#N/A,#N/A,FALSE,"Tickmarks"}</definedName>
    <definedName name="name" localSheetId="6" hidden="1">{#N/A,#N/A,FALSE,"Aging Summary";#N/A,#N/A,FALSE,"Ratio Analysis";#N/A,#N/A,FALSE,"Test 120 Day Accts";#N/A,#N/A,FALSE,"Tickmarks"}</definedName>
    <definedName name="name" localSheetId="5" hidden="1">{#N/A,#N/A,FALSE,"Aging Summary";#N/A,#N/A,FALSE,"Ratio Analysis";#N/A,#N/A,FALSE,"Test 120 Day Accts";#N/A,#N/A,FALSE,"Tickmarks"}</definedName>
    <definedName name="name" hidden="1">{#N/A,#N/A,FALSE,"Aging Summary";#N/A,#N/A,FALSE,"Ratio Analysis";#N/A,#N/A,FALSE,"Test 120 Day Accts";#N/A,#N/A,FALSE,"Tickmarks"}</definedName>
    <definedName name="name_depozit_1" localSheetId="6">[9]Отч.1!#REF!</definedName>
    <definedName name="name_depozit_1">[9]Отч.1!#REF!</definedName>
    <definedName name="name_otd" localSheetId="6">[9]Отч.1!#REF!</definedName>
    <definedName name="name_otd">[9]Отч.1!#REF!</definedName>
    <definedName name="Net_Income_attributable_to_shareholders_Alfa" localSheetId="2">#REF!</definedName>
    <definedName name="Net_Income_attributable_to_shareholders_Alfa" localSheetId="6">#REF!</definedName>
    <definedName name="Net_Income_attributable_to_shareholders_Alfa" localSheetId="5">#REF!</definedName>
    <definedName name="Net_Income_attributable_to_shareholders_Alfa">#REF!</definedName>
    <definedName name="Net_Income_attributable_to_shareholders_CBM" localSheetId="2">#REF!</definedName>
    <definedName name="Net_Income_attributable_to_shareholders_CBM" localSheetId="6">#REF!</definedName>
    <definedName name="Net_Income_attributable_to_shareholders_CBM" localSheetId="5">#REF!</definedName>
    <definedName name="Net_Income_attributable_to_shareholders_CBM">#REF!</definedName>
    <definedName name="Net_Income_attributable_to_shareholders_HCFB" localSheetId="2">#REF!</definedName>
    <definedName name="Net_Income_attributable_to_shareholders_HCFB" localSheetId="6">#REF!</definedName>
    <definedName name="Net_Income_attributable_to_shareholders_HCFB" localSheetId="5">#REF!</definedName>
    <definedName name="Net_Income_attributable_to_shareholders_HCFB">#REF!</definedName>
    <definedName name="Net_Income_attributable_to_shareholders_PSB" localSheetId="6">#REF!</definedName>
    <definedName name="Net_Income_attributable_to_shareholders_PSB">#REF!</definedName>
    <definedName name="Net_Income_attributable_to_shareholders_RS" localSheetId="6">#REF!</definedName>
    <definedName name="Net_Income_attributable_to_shareholders_RS">#REF!</definedName>
    <definedName name="Net_Income_attributable_to_shareholders_SBR" localSheetId="6">#REF!</definedName>
    <definedName name="Net_Income_attributable_to_shareholders_SBR">#REF!</definedName>
    <definedName name="Net_Income_attributable_to_shareholders_tcs" localSheetId="6">#REF!</definedName>
    <definedName name="Net_Income_attributable_to_shareholders_tcs">#REF!</definedName>
    <definedName name="Net_interest_income_Alfa" localSheetId="6">#REF!</definedName>
    <definedName name="Net_interest_income_Alfa">#REF!</definedName>
    <definedName name="Net_interest_income_CBM" localSheetId="6">#REF!</definedName>
    <definedName name="Net_interest_income_CBM">#REF!</definedName>
    <definedName name="Net_interest_income_HCFB" localSheetId="6">#REF!</definedName>
    <definedName name="Net_interest_income_HCFB">#REF!</definedName>
    <definedName name="Net_interest_income_PSB" localSheetId="6">#REF!</definedName>
    <definedName name="Net_interest_income_PSB">#REF!</definedName>
    <definedName name="Net_interest_income_RS" localSheetId="6">#REF!</definedName>
    <definedName name="Net_interest_income_RS">#REF!</definedName>
    <definedName name="Net_interest_income_SBR" localSheetId="6">#REF!</definedName>
    <definedName name="Net_interest_income_SBR">#REF!</definedName>
    <definedName name="Net_interest_income_tcs" localSheetId="6">#REF!</definedName>
    <definedName name="Net_interest_income_tcs">#REF!</definedName>
    <definedName name="Net_Loans_to_customers_Alfa" localSheetId="6">#REF!</definedName>
    <definedName name="Net_Loans_to_customers_Alfa">#REF!</definedName>
    <definedName name="Net_Loans_to_customers_CBM" localSheetId="6">#REF!</definedName>
    <definedName name="Net_Loans_to_customers_CBM">#REF!</definedName>
    <definedName name="Net_Loans_to_customers_HCFB" localSheetId="6">#REF!</definedName>
    <definedName name="Net_Loans_to_customers_HCFB">#REF!</definedName>
    <definedName name="Net_Loans_to_customers_PSB" localSheetId="6">#REF!</definedName>
    <definedName name="Net_Loans_to_customers_PSB">#REF!</definedName>
    <definedName name="Net_Loans_to_customers_RS" localSheetId="6">#REF!</definedName>
    <definedName name="Net_Loans_to_customers_RS">#REF!</definedName>
    <definedName name="Net_Loans_to_customers_SBR" localSheetId="6">#REF!</definedName>
    <definedName name="Net_Loans_to_customers_SBR">#REF!</definedName>
    <definedName name="Net_Loans_to_customers_tcs" localSheetId="6">#REF!</definedName>
    <definedName name="Net_Loans_to_customers_tcs">#REF!</definedName>
    <definedName name="NFC___Adj._operating_Income_Alfa" localSheetId="6">#REF!</definedName>
    <definedName name="NFC___Adj._operating_Income_Alfa">#REF!</definedName>
    <definedName name="NFC___Adj._operating_Income_CBM" localSheetId="6">#REF!</definedName>
    <definedName name="NFC___Adj._operating_Income_CBM">#REF!</definedName>
    <definedName name="NFC___Adj._operating_Income_HCFB" localSheetId="6">#REF!</definedName>
    <definedName name="NFC___Adj._operating_Income_HCFB">#REF!</definedName>
    <definedName name="NFC___Adj._operating_Income_PSB" localSheetId="6">#REF!</definedName>
    <definedName name="NFC___Adj._operating_Income_PSB">#REF!</definedName>
    <definedName name="NFC___Adj._operating_Income_RS" localSheetId="6">#REF!</definedName>
    <definedName name="NFC___Adj._operating_Income_RS">#REF!</definedName>
    <definedName name="NFC___Adj._operating_Income_SBR" localSheetId="6">#REF!</definedName>
    <definedName name="NFC___Adj._operating_Income_SBR">#REF!</definedName>
    <definedName name="NFC___Adj._operating_Income_tcs" localSheetId="6">#REF!</definedName>
    <definedName name="NFC___Adj._operating_Income_tcs">#REF!</definedName>
    <definedName name="NFC___Operating_Income_Alfa" localSheetId="6">#REF!</definedName>
    <definedName name="NFC___Operating_Income_Alfa">#REF!</definedName>
    <definedName name="NFC___Operating_Income_CBM" localSheetId="6">#REF!</definedName>
    <definedName name="NFC___Operating_Income_CBM">#REF!</definedName>
    <definedName name="NFC___Operating_Income_HCFB" localSheetId="6">#REF!</definedName>
    <definedName name="NFC___Operating_Income_HCFB">#REF!</definedName>
    <definedName name="NFC___Operating_Income_PSB" localSheetId="6">#REF!</definedName>
    <definedName name="NFC___Operating_Income_PSB">#REF!</definedName>
    <definedName name="NFC___Operating_Income_RS" localSheetId="6">#REF!</definedName>
    <definedName name="NFC___Operating_Income_RS">#REF!</definedName>
    <definedName name="NFC___Operating_Income_SBR" localSheetId="6">#REF!</definedName>
    <definedName name="NFC___Operating_Income_SBR">#REF!</definedName>
    <definedName name="NFC___Operating_Income_tcs" localSheetId="6">#REF!</definedName>
    <definedName name="NFC___Operating_Income_tcs">#REF!</definedName>
    <definedName name="NII___NFC___Avg._Assets_Alfa" localSheetId="6">#REF!</definedName>
    <definedName name="NII___NFC___Avg._Assets_Alfa">#REF!</definedName>
    <definedName name="NII___NFC___Avg._Assets_CBM" localSheetId="6">#REF!</definedName>
    <definedName name="NII___NFC___Avg._Assets_CBM">#REF!</definedName>
    <definedName name="NII___NFC___Avg._Assets_HCFB" localSheetId="6">#REF!</definedName>
    <definedName name="NII___NFC___Avg._Assets_HCFB">#REF!</definedName>
    <definedName name="NII___NFC___Avg._Assets_PSB" localSheetId="6">#REF!</definedName>
    <definedName name="NII___NFC___Avg._Assets_PSB">#REF!</definedName>
    <definedName name="NII___NFC___Avg._Assets_RS" localSheetId="6">#REF!</definedName>
    <definedName name="NII___NFC___Avg._Assets_RS">#REF!</definedName>
    <definedName name="NII___NFC___Avg._Assets_SBR" localSheetId="6">#REF!</definedName>
    <definedName name="NII___NFC___Avg._Assets_SBR">#REF!</definedName>
    <definedName name="NII___NFC___Avg._Assets_tcs" localSheetId="6">#REF!</definedName>
    <definedName name="NII___NFC___Avg._Assets_tcs">#REF!</definedName>
    <definedName name="NIM__avg._assets__Alfa" localSheetId="6">#REF!</definedName>
    <definedName name="NIM__avg._assets__Alfa">#REF!</definedName>
    <definedName name="NIM__avg._assets__CBM" localSheetId="6">#REF!</definedName>
    <definedName name="NIM__avg._assets__CBM">#REF!</definedName>
    <definedName name="NIM__avg._assets__HCFB" localSheetId="6">#REF!</definedName>
    <definedName name="NIM__avg._assets__HCFB">#REF!</definedName>
    <definedName name="NIM__avg._assets__PSB" localSheetId="6">#REF!</definedName>
    <definedName name="NIM__avg._assets__PSB">#REF!</definedName>
    <definedName name="NIM__avg._assets__RS" localSheetId="6">#REF!</definedName>
    <definedName name="NIM__avg._assets__RS">#REF!</definedName>
    <definedName name="NIM__avg._assets__SBR" localSheetId="6">#REF!</definedName>
    <definedName name="NIM__avg._assets__SBR">#REF!</definedName>
    <definedName name="NIM__avg._assets__tcs" localSheetId="6">#REF!</definedName>
    <definedName name="NIM__avg._assets__tcs">#REF!</definedName>
    <definedName name="num_end_1" localSheetId="6">[7]Отч.47!#REF!</definedName>
    <definedName name="num_end_1">[7]Отч.47!#REF!</definedName>
    <definedName name="num2_end" localSheetId="6">[7]Отч.47!#REF!</definedName>
    <definedName name="num2_end">[7]Отч.47!#REF!</definedName>
    <definedName name="nuum_1_begin" localSheetId="6">[7]Отч.47!#REF!</definedName>
    <definedName name="nuum_1_begin">[7]Отч.47!#REF!</definedName>
    <definedName name="office_code" localSheetId="2">#REF!</definedName>
    <definedName name="office_code" localSheetId="6">#REF!</definedName>
    <definedName name="office_code" localSheetId="5">#REF!</definedName>
    <definedName name="office_code">#REF!</definedName>
    <definedName name="Onn_OFFs_PSB" localSheetId="2">#REF!</definedName>
    <definedName name="Onn_OFFs_PSB" localSheetId="6">#REF!</definedName>
    <definedName name="Onn_OFFs_PSB" localSheetId="5">#REF!</definedName>
    <definedName name="Onn_OFFs_PSB">#REF!</definedName>
    <definedName name="outRange" localSheetId="2">#REF!</definedName>
    <definedName name="outRange" localSheetId="6">#REF!</definedName>
    <definedName name="outRange" localSheetId="5">#REF!</definedName>
    <definedName name="outRange">#REF!</definedName>
    <definedName name="post_rows_74" localSheetId="6">#REF!</definedName>
    <definedName name="post_rows_74">#REF!</definedName>
    <definedName name="post_str_1" localSheetId="6">#REF!</definedName>
    <definedName name="post_str_1">#REF!</definedName>
    <definedName name="post_str_1_74" localSheetId="6">#REF!</definedName>
    <definedName name="post_str_1_74">#REF!</definedName>
    <definedName name="post_str_2_74" localSheetId="6">#REF!</definedName>
    <definedName name="post_str_2_74">#REF!</definedName>
    <definedName name="post_str_3_74" localSheetId="6">#REF!</definedName>
    <definedName name="post_str_3_74">#REF!</definedName>
    <definedName name="post_str_4_74" localSheetId="6">#REF!</definedName>
    <definedName name="post_str_4_74">#REF!</definedName>
    <definedName name="post_str_5_1_74" localSheetId="6">#REF!</definedName>
    <definedName name="post_str_5_1_74">#REF!</definedName>
    <definedName name="post_str_5_2_74" localSheetId="6">#REF!</definedName>
    <definedName name="post_str_5_2_74">#REF!</definedName>
    <definedName name="post_str_6_74" localSheetId="6">#REF!</definedName>
    <definedName name="post_str_6_74">#REF!</definedName>
    <definedName name="Profit_before_income_tax_expense_Alfa" localSheetId="6">#REF!</definedName>
    <definedName name="Profit_before_income_tax_expense_Alfa">#REF!</definedName>
    <definedName name="Profit_before_income_tax_expense_CBM" localSheetId="6">#REF!</definedName>
    <definedName name="Profit_before_income_tax_expense_CBM">#REF!</definedName>
    <definedName name="Profit_before_income_tax_expense_HCFB" localSheetId="6">#REF!</definedName>
    <definedName name="Profit_before_income_tax_expense_HCFB">#REF!</definedName>
    <definedName name="Profit_before_income_tax_expense_PSB" localSheetId="6">#REF!</definedName>
    <definedName name="Profit_before_income_tax_expense_PSB">#REF!</definedName>
    <definedName name="Profit_before_income_tax_expense_RS" localSheetId="6">#REF!</definedName>
    <definedName name="Profit_before_income_tax_expense_RS">#REF!</definedName>
    <definedName name="Profit_before_income_tax_expense_SBR" localSheetId="6">#REF!</definedName>
    <definedName name="Profit_before_income_tax_expense_SBR">#REF!</definedName>
    <definedName name="Profit_before_income_tax_expense_tcs" localSheetId="6">#REF!</definedName>
    <definedName name="Profit_before_income_tax_expense_tcs">#REF!</definedName>
    <definedName name="Provisions_of_other_assets_and_credit_related_liabilities_CBM" localSheetId="6">#REF!</definedName>
    <definedName name="Provisions_of_other_assets_and_credit_related_liabilities_CBM">#REF!</definedName>
    <definedName name="q" localSheetId="2" hidden="1">{#N/A,#N/A,FALSE,"Aging Summary";#N/A,#N/A,FALSE,"Ratio Analysis";#N/A,#N/A,FALSE,"Test 120 Day Accts";#N/A,#N/A,FALSE,"Tickmarks"}</definedName>
    <definedName name="q" localSheetId="6" hidden="1">{#N/A,#N/A,FALSE,"Aging Summary";#N/A,#N/A,FALSE,"Ratio Analysis";#N/A,#N/A,FALSE,"Test 120 Day Accts";#N/A,#N/A,FALSE,"Tickmarks"}</definedName>
    <definedName name="q" localSheetId="5" hidden="1">{#N/A,#N/A,FALSE,"Aging Summary";#N/A,#N/A,FALSE,"Ratio Analysis";#N/A,#N/A,FALSE,"Test 120 Day Accts";#N/A,#N/A,FALSE,"Tickmarks"}</definedName>
    <definedName name="q" hidden="1">{#N/A,#N/A,FALSE,"Aging Summary";#N/A,#N/A,FALSE,"Ratio Analysis";#N/A,#N/A,FALSE,"Test 120 Day Accts";#N/A,#N/A,FALSE,"Tickmarks"}</definedName>
    <definedName name="qq" localSheetId="2" hidden="1">{"Valuation_Common",#N/A,FALSE,"Valuation"}</definedName>
    <definedName name="qq" localSheetId="6" hidden="1">{"Valuation_Common",#N/A,FALSE,"Valuation"}</definedName>
    <definedName name="qq" localSheetId="5" hidden="1">{"Valuation_Common",#N/A,FALSE,"Valuation"}</definedName>
    <definedName name="qq" hidden="1">{"Valuation_Common",#N/A,FALSE,"Valuation"}</definedName>
    <definedName name="r_1" localSheetId="2">#REF!</definedName>
    <definedName name="r_1" localSheetId="6">#REF!</definedName>
    <definedName name="r_1" localSheetId="5">#REF!</definedName>
    <definedName name="r_1">#REF!</definedName>
    <definedName name="r_10" localSheetId="2">#REF!</definedName>
    <definedName name="r_10" localSheetId="6">#REF!</definedName>
    <definedName name="r_10" localSheetId="5">#REF!</definedName>
    <definedName name="r_10">#REF!</definedName>
    <definedName name="r_11" localSheetId="2">#REF!</definedName>
    <definedName name="r_11" localSheetId="6">#REF!</definedName>
    <definedName name="r_11" localSheetId="5">#REF!</definedName>
    <definedName name="r_11">#REF!</definedName>
    <definedName name="r_12" localSheetId="6">#REF!</definedName>
    <definedName name="r_12">#REF!</definedName>
    <definedName name="r_13" localSheetId="6">#REF!</definedName>
    <definedName name="r_13">#REF!</definedName>
    <definedName name="r_14" localSheetId="6">#REF!</definedName>
    <definedName name="r_14">#REF!</definedName>
    <definedName name="r_15" localSheetId="6">#REF!</definedName>
    <definedName name="r_15">#REF!</definedName>
    <definedName name="r_16" localSheetId="6">#REF!</definedName>
    <definedName name="r_16">#REF!</definedName>
    <definedName name="r_17" localSheetId="6">#REF!</definedName>
    <definedName name="r_17">#REF!</definedName>
    <definedName name="r_18" localSheetId="6">#REF!</definedName>
    <definedName name="r_18">#REF!</definedName>
    <definedName name="r_19" localSheetId="6">#REF!</definedName>
    <definedName name="r_19">#REF!</definedName>
    <definedName name="r_2" localSheetId="6">#REF!</definedName>
    <definedName name="r_2">#REF!</definedName>
    <definedName name="r_20" localSheetId="6">#REF!</definedName>
    <definedName name="r_20">#REF!</definedName>
    <definedName name="r_21" localSheetId="6">#REF!</definedName>
    <definedName name="r_21">#REF!</definedName>
    <definedName name="r_22" localSheetId="6">#REF!</definedName>
    <definedName name="r_22">#REF!</definedName>
    <definedName name="r_23" localSheetId="6">#REF!</definedName>
    <definedName name="r_23">#REF!</definedName>
    <definedName name="r_24" localSheetId="6">#REF!</definedName>
    <definedName name="r_24">#REF!</definedName>
    <definedName name="r_25" localSheetId="6">#REF!</definedName>
    <definedName name="r_25">#REF!</definedName>
    <definedName name="r_26" localSheetId="6">#REF!</definedName>
    <definedName name="r_26">#REF!</definedName>
    <definedName name="r_3" localSheetId="6">#REF!</definedName>
    <definedName name="r_3">#REF!</definedName>
    <definedName name="r_4" localSheetId="6">#REF!</definedName>
    <definedName name="r_4">#REF!</definedName>
    <definedName name="r_5" localSheetId="6">#REF!</definedName>
    <definedName name="r_5">#REF!</definedName>
    <definedName name="r_6" localSheetId="6">#REF!</definedName>
    <definedName name="r_6">#REF!</definedName>
    <definedName name="r_7" localSheetId="6">#REF!</definedName>
    <definedName name="r_7">#REF!</definedName>
    <definedName name="r_8" localSheetId="6">#REF!</definedName>
    <definedName name="r_8">#REF!</definedName>
    <definedName name="r_9" localSheetId="6">#REF!</definedName>
    <definedName name="r_9">#REF!</definedName>
    <definedName name="recv_74" localSheetId="6">#REF!</definedName>
    <definedName name="recv_74">#REF!</definedName>
    <definedName name="recv_end_74" localSheetId="6">#REF!</definedName>
    <definedName name="recv_end_74">#REF!</definedName>
    <definedName name="rep_05_begin_1" localSheetId="6">#REF!</definedName>
    <definedName name="rep_05_begin_1">#REF!</definedName>
    <definedName name="rep_05_date_time" localSheetId="6">#REF!</definedName>
    <definedName name="rep_05_date_time">#REF!</definedName>
    <definedName name="rep_05_end_1" localSheetId="6">#REF!</definedName>
    <definedName name="rep_05_end_1">#REF!</definedName>
    <definedName name="rep_05_sum_disk" localSheetId="6">#REF!</definedName>
    <definedName name="rep_05_sum_disk">#REF!</definedName>
    <definedName name="rep_05_sum_inter" localSheetId="6">#REF!</definedName>
    <definedName name="rep_05_sum_inter">#REF!</definedName>
    <definedName name="rep_05_sum_perc" localSheetId="6">#REF!</definedName>
    <definedName name="rep_05_sum_perc">#REF!</definedName>
    <definedName name="rep_05_tax_rur" localSheetId="6">#REF!</definedName>
    <definedName name="rep_05_tax_rur">#REF!</definedName>
    <definedName name="rep_05_tax_usd" localSheetId="6">#REF!</definedName>
    <definedName name="rep_05_tax_usd">#REF!</definedName>
    <definedName name="rep_07_date_time">[11]Отч.7!$B$3</definedName>
    <definedName name="rep_08_city" localSheetId="2">#REF!</definedName>
    <definedName name="rep_08_city" localSheetId="6">#REF!</definedName>
    <definedName name="rep_08_city" localSheetId="5">#REF!</definedName>
    <definedName name="rep_08_city">#REF!</definedName>
    <definedName name="rep_08_date_pay" localSheetId="2">#REF!</definedName>
    <definedName name="rep_08_date_pay" localSheetId="6">#REF!</definedName>
    <definedName name="rep_08_date_pay" localSheetId="5">#REF!</definedName>
    <definedName name="rep_08_date_pay">#REF!</definedName>
    <definedName name="rep_08_date_time">[11]Отч.8!$L$4</definedName>
    <definedName name="rep_08_descr" localSheetId="2">#REF!</definedName>
    <definedName name="rep_08_descr" localSheetId="6">#REF!</definedName>
    <definedName name="rep_08_descr" localSheetId="5">#REF!</definedName>
    <definedName name="rep_08_descr">#REF!</definedName>
    <definedName name="rep_08_name" localSheetId="2">#REF!</definedName>
    <definedName name="rep_08_name" localSheetId="6">#REF!</definedName>
    <definedName name="rep_08_name" localSheetId="5">#REF!</definedName>
    <definedName name="rep_08_name">#REF!</definedName>
    <definedName name="rep_12_begin_1" localSheetId="2">#REF!</definedName>
    <definedName name="rep_12_begin_1" localSheetId="6">#REF!</definedName>
    <definedName name="rep_12_begin_1" localSheetId="5">#REF!</definedName>
    <definedName name="rep_12_begin_1">#REF!</definedName>
    <definedName name="rep_12_end_1" localSheetId="6">#REF!</definedName>
    <definedName name="rep_12_end_1">#REF!</definedName>
    <definedName name="rep_57_begin_1" localSheetId="6">#REF!</definedName>
    <definedName name="rep_57_begin_1">#REF!</definedName>
    <definedName name="rep_57_date_time" localSheetId="6">#REF!</definedName>
    <definedName name="rep_57_date_time">#REF!</definedName>
    <definedName name="rep_57_end_1" localSheetId="6">#REF!</definedName>
    <definedName name="rep_57_end_1">#REF!</definedName>
    <definedName name="Reported_Net_Income_attributable_to_shareholders_tcs" localSheetId="6">#REF!</definedName>
    <definedName name="Reported_Net_Income_attributable_to_shareholders_tcs">#REF!</definedName>
    <definedName name="RoAA_Alfa" localSheetId="6">#REF!</definedName>
    <definedName name="RoAA_Alfa">#REF!</definedName>
    <definedName name="RoAA_CBM" localSheetId="6">#REF!</definedName>
    <definedName name="RoAA_CBM">#REF!</definedName>
    <definedName name="RoAA_HCFB" localSheetId="6">#REF!</definedName>
    <definedName name="RoAA_HCFB">#REF!</definedName>
    <definedName name="RoAA_PSB" localSheetId="6">#REF!</definedName>
    <definedName name="RoAA_PSB">#REF!</definedName>
    <definedName name="RoAA_RS" localSheetId="6">#REF!</definedName>
    <definedName name="RoAA_RS">#REF!</definedName>
    <definedName name="RoAA_SBR" localSheetId="6">#REF!</definedName>
    <definedName name="RoAA_SBR">#REF!</definedName>
    <definedName name="RoAA_tcs" localSheetId="6">#REF!</definedName>
    <definedName name="RoAA_tcs">#REF!</definedName>
    <definedName name="RoAE_Alfa" localSheetId="6">#REF!</definedName>
    <definedName name="RoAE_Alfa">#REF!</definedName>
    <definedName name="RoAE_CBM" localSheetId="6">#REF!</definedName>
    <definedName name="RoAE_CBM">#REF!</definedName>
    <definedName name="RoAE_HCFB" localSheetId="6">#REF!</definedName>
    <definedName name="RoAE_HCFB">#REF!</definedName>
    <definedName name="RoAE_PSB" localSheetId="6">#REF!</definedName>
    <definedName name="RoAE_PSB">#REF!</definedName>
    <definedName name="RoAE_RS" localSheetId="6">#REF!</definedName>
    <definedName name="RoAE_RS">#REF!</definedName>
    <definedName name="RoAE_SBR" localSheetId="6">#REF!</definedName>
    <definedName name="RoAE_SBR">#REF!</definedName>
    <definedName name="RoAE_tcs" localSheetId="6">#REF!</definedName>
    <definedName name="RoAE_tcs">#REF!</definedName>
    <definedName name="rub_stavka" localSheetId="6">[9]Отч.1!#REF!</definedName>
    <definedName name="rub_stavka">[9]Отч.1!#REF!</definedName>
    <definedName name="rub_summa" localSheetId="6">[9]Отч.1!#REF!</definedName>
    <definedName name="rub_summa">[9]Отч.1!#REF!</definedName>
    <definedName name="RWAs_CBM" localSheetId="2">#REF!</definedName>
    <definedName name="RWAs_CBM" localSheetId="6">#REF!</definedName>
    <definedName name="RWAs_CBM" localSheetId="5">#REF!</definedName>
    <definedName name="RWAs_CBM">#REF!</definedName>
    <definedName name="RWAs_HCFB" localSheetId="2">#REF!</definedName>
    <definedName name="RWAs_HCFB" localSheetId="6">#REF!</definedName>
    <definedName name="RWAs_HCFB" localSheetId="5">#REF!</definedName>
    <definedName name="RWAs_HCFB">#REF!</definedName>
    <definedName name="RWAs_PSB" localSheetId="2">#REF!</definedName>
    <definedName name="RWAs_PSB" localSheetId="6">#REF!</definedName>
    <definedName name="RWAs_PSB" localSheetId="5">#REF!</definedName>
    <definedName name="RWAs_PSB">#REF!</definedName>
    <definedName name="RWAs_RS" localSheetId="6">#REF!</definedName>
    <definedName name="RWAs_RS">#REF!</definedName>
    <definedName name="RWAs_tcs" localSheetId="6">#REF!</definedName>
    <definedName name="RWAs_tcs">#REF!</definedName>
    <definedName name="SD" localSheetId="6">#REF!</definedName>
    <definedName name="SD">#REF!</definedName>
    <definedName name="sdsss" localSheetId="6" hidden="1">#REF!</definedName>
    <definedName name="sdsss" hidden="1">#REF!</definedName>
    <definedName name="Shareholders__Equity_Alfa" localSheetId="6">#REF!</definedName>
    <definedName name="Shareholders__Equity_Alfa">#REF!</definedName>
    <definedName name="Shareholders__Equity_CBM" localSheetId="6">#REF!</definedName>
    <definedName name="Shareholders__Equity_CBM">#REF!</definedName>
    <definedName name="Shareholders__Equity_HCFB" localSheetId="6">#REF!</definedName>
    <definedName name="Shareholders__Equity_HCFB">#REF!</definedName>
    <definedName name="Shareholders__Equity_PSB" localSheetId="6">#REF!</definedName>
    <definedName name="Shareholders__Equity_PSB">#REF!</definedName>
    <definedName name="Shareholders__Equity_RS" localSheetId="6">#REF!</definedName>
    <definedName name="Shareholders__Equity_RS">#REF!</definedName>
    <definedName name="Shareholders__Equity_SBR" localSheetId="6">#REF!</definedName>
    <definedName name="Shareholders__Equity_SBR">#REF!</definedName>
    <definedName name="Shareholders__Equity_tcs" localSheetId="6">#REF!</definedName>
    <definedName name="Shareholders__Equity_tcs">#REF!</definedName>
    <definedName name="Solver_all" localSheetId="6">[8]BS!#REF!</definedName>
    <definedName name="Solver_all">[8]BS!#REF!</definedName>
    <definedName name="Solver1" localSheetId="6">[8]BS!#REF!</definedName>
    <definedName name="Solver1">[8]BS!#REF!</definedName>
    <definedName name="Solver10" localSheetId="6">[8]BS!#REF!</definedName>
    <definedName name="Solver10">[8]BS!#REF!</definedName>
    <definedName name="Solver11" localSheetId="6">[8]BS!#REF!</definedName>
    <definedName name="Solver11">[8]BS!#REF!</definedName>
    <definedName name="Solver2" localSheetId="6">[8]BS!#REF!</definedName>
    <definedName name="Solver2">[8]BS!#REF!</definedName>
    <definedName name="Solver3" localSheetId="6">[8]BS!#REF!</definedName>
    <definedName name="Solver3">[8]BS!#REF!</definedName>
    <definedName name="Solver4" localSheetId="6">[8]BS!#REF!</definedName>
    <definedName name="Solver4">[8]BS!#REF!</definedName>
    <definedName name="Solver5" localSheetId="6">[8]BS!#REF!</definedName>
    <definedName name="Solver5">[8]BS!#REF!</definedName>
    <definedName name="Solver6" localSheetId="6">[8]BS!#REF!</definedName>
    <definedName name="Solver6">[8]BS!#REF!</definedName>
    <definedName name="Solver7" localSheetId="6">[8]BS!#REF!</definedName>
    <definedName name="Solver7">[8]BS!#REF!</definedName>
    <definedName name="Solver8" localSheetId="6">[8]BS!#REF!</definedName>
    <definedName name="Solver8">[8]BS!#REF!</definedName>
    <definedName name="Solver9" localSheetId="6">[8]BS!#REF!</definedName>
    <definedName name="Solver9">[8]BS!#REF!</definedName>
    <definedName name="srok" localSheetId="6">[9]Отч.1!#REF!</definedName>
    <definedName name="srok">[9]Отч.1!#REF!</definedName>
    <definedName name="st_currency" localSheetId="2">#REF!</definedName>
    <definedName name="st_currency" localSheetId="6">#REF!</definedName>
    <definedName name="st_currency" localSheetId="5">#REF!</definedName>
    <definedName name="st_currency">#REF!</definedName>
    <definedName name="sum_rur_risk" localSheetId="6">[7]Отч.8!#REF!</definedName>
    <definedName name="sum_rur_risk">[7]Отч.8!#REF!</definedName>
    <definedName name="sum_rur_risk_low" localSheetId="6">[7]Отч.21!#REF!</definedName>
    <definedName name="sum_rur_risk_low">[7]Отч.21!#REF!</definedName>
    <definedName name="sum_rur_risk_mid" localSheetId="6">[7]Отч.21!#REF!</definedName>
    <definedName name="sum_rur_risk_mid">[7]Отч.21!#REF!</definedName>
    <definedName name="sum_w_risk" localSheetId="6">[7]Отч.8!#REF!</definedName>
    <definedName name="sum_w_risk">[7]Отч.8!#REF!</definedName>
    <definedName name="sum_w_risk_low" localSheetId="6">[7]Отч.21!#REF!</definedName>
    <definedName name="sum_w_risk_low">[7]Отч.21!#REF!</definedName>
    <definedName name="sum_w_risk_mid" localSheetId="6">[7]Отч.21!#REF!</definedName>
    <definedName name="sum_w_risk_mid">[7]Отч.21!#REF!</definedName>
    <definedName name="summa_26" localSheetId="6">[7]Отч.26!#REF!</definedName>
    <definedName name="summa_26">[7]Отч.26!#REF!</definedName>
    <definedName name="summary2" localSheetId="2" hidden="1">{#N/A,#N/A,FALSE,"Aging Summary";#N/A,#N/A,FALSE,"Ratio Analysis";#N/A,#N/A,FALSE,"Test 120 Day Accts";#N/A,#N/A,FALSE,"Tickmarks"}</definedName>
    <definedName name="summary2" localSheetId="6" hidden="1">{#N/A,#N/A,FALSE,"Aging Summary";#N/A,#N/A,FALSE,"Ratio Analysis";#N/A,#N/A,FALSE,"Test 120 Day Accts";#N/A,#N/A,FALSE,"Tickmarks"}</definedName>
    <definedName name="summary2" localSheetId="5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tanya" localSheetId="2" hidden="1">{#N/A,#N/A,FALSE,"Aging Summary";#N/A,#N/A,FALSE,"Ratio Analysis";#N/A,#N/A,FALSE,"Test 120 Day Accts";#N/A,#N/A,FALSE,"Tickmarks"}</definedName>
    <definedName name="tanya" localSheetId="6" hidden="1">{#N/A,#N/A,FALSE,"Aging Summary";#N/A,#N/A,FALSE,"Ratio Analysis";#N/A,#N/A,FALSE,"Test 120 Day Accts";#N/A,#N/A,FALSE,"Tickmarks"}</definedName>
    <definedName name="tanya" localSheetId="5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ertw" localSheetId="2" hidden="1">{#N/A,#N/A,FALSE,"Aging Summary";#N/A,#N/A,FALSE,"Ratio Analysis";#N/A,#N/A,FALSE,"Test 120 Day Accts";#N/A,#N/A,FALSE,"Tickmarks"}</definedName>
    <definedName name="tertw" localSheetId="6" hidden="1">{#N/A,#N/A,FALSE,"Aging Summary";#N/A,#N/A,FALSE,"Ratio Analysis";#N/A,#N/A,FALSE,"Test 120 Day Accts";#N/A,#N/A,FALSE,"Tickmarks"}</definedName>
    <definedName name="tertw" localSheetId="5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xtRefCopyRangeCount" hidden="1">7</definedName>
    <definedName name="th" localSheetId="2" hidden="1">{#N/A,#N/A,FALSE,"Aging Summary";#N/A,#N/A,FALSE,"Ratio Analysis";#N/A,#N/A,FALSE,"Test 120 Day Accts";#N/A,#N/A,FALSE,"Tickmarks"}</definedName>
    <definedName name="th" localSheetId="6" hidden="1">{#N/A,#N/A,FALSE,"Aging Summary";#N/A,#N/A,FALSE,"Ratio Analysis";#N/A,#N/A,FALSE,"Test 120 Day Accts";#N/A,#N/A,FALSE,"Tickmarks"}</definedName>
    <definedName name="th" localSheetId="5" hidden="1">{#N/A,#N/A,FALSE,"Aging Summary";#N/A,#N/A,FALSE,"Ratio Analysis";#N/A,#N/A,FALSE,"Test 120 Day Accts";#N/A,#N/A,FALSE,"Tickmarks"}</definedName>
    <definedName name="th" hidden="1">{#N/A,#N/A,FALSE,"Aging Summary";#N/A,#N/A,FALSE,"Ratio Analysis";#N/A,#N/A,FALSE,"Test 120 Day Accts";#N/A,#N/A,FALSE,"Tickmarks"}</definedName>
    <definedName name="Tier_1_Capital_Alfa" localSheetId="2">#REF!</definedName>
    <definedName name="Tier_1_Capital_Alfa" localSheetId="6">#REF!</definedName>
    <definedName name="Tier_1_Capital_Alfa" localSheetId="5">#REF!</definedName>
    <definedName name="Tier_1_Capital_Alfa">#REF!</definedName>
    <definedName name="Tier_1_Capital_CBM" localSheetId="2">#REF!</definedName>
    <definedName name="Tier_1_Capital_CBM" localSheetId="6">#REF!</definedName>
    <definedName name="Tier_1_Capital_CBM" localSheetId="5">#REF!</definedName>
    <definedName name="Tier_1_Capital_CBM">#REF!</definedName>
    <definedName name="Tier_1_Capital_HCFB" localSheetId="2">#REF!</definedName>
    <definedName name="Tier_1_Capital_HCFB" localSheetId="6">#REF!</definedName>
    <definedName name="Tier_1_Capital_HCFB" localSheetId="5">#REF!</definedName>
    <definedName name="Tier_1_Capital_HCFB">#REF!</definedName>
    <definedName name="Tier_1_Capital_PSB" localSheetId="6">#REF!</definedName>
    <definedName name="Tier_1_Capital_PSB">#REF!</definedName>
    <definedName name="Tier_1_Capital_RS" localSheetId="6">#REF!</definedName>
    <definedName name="Tier_1_Capital_RS">#REF!</definedName>
    <definedName name="Tier_1_Capital_tcs" localSheetId="6">#REF!</definedName>
    <definedName name="Tier_1_Capital_tcs">#REF!</definedName>
    <definedName name="Tier_1_Ratio_Alfa" localSheetId="6">#REF!</definedName>
    <definedName name="Tier_1_Ratio_Alfa">#REF!</definedName>
    <definedName name="Tier_1_Ratio_CBM" localSheetId="6">#REF!</definedName>
    <definedName name="Tier_1_Ratio_CBM">#REF!</definedName>
    <definedName name="Tier_1_Ratio_HCFB" localSheetId="6">#REF!</definedName>
    <definedName name="Tier_1_Ratio_HCFB">#REF!</definedName>
    <definedName name="Tier_1_Ratio_PSB" localSheetId="6">#REF!</definedName>
    <definedName name="Tier_1_Ratio_PSB">#REF!</definedName>
    <definedName name="Tier_1_Ratio_RS" localSheetId="6">#REF!</definedName>
    <definedName name="Tier_1_Ratio_RS">#REF!</definedName>
    <definedName name="Tier_1_Ratio_SBR" localSheetId="6">#REF!</definedName>
    <definedName name="Tier_1_Ratio_SBR">#REF!</definedName>
    <definedName name="Tier_1_Ratio_tcs" localSheetId="6">#REF!</definedName>
    <definedName name="Tier_1_Ratio_tcs">#REF!</definedName>
    <definedName name="Total_Adjustments__post_tax__Alfa" localSheetId="6">#REF!</definedName>
    <definedName name="Total_Adjustments__post_tax__Alfa">#REF!</definedName>
    <definedName name="Total_Adjustments__post_tax__CBM" localSheetId="6">#REF!</definedName>
    <definedName name="Total_Adjustments__post_tax__CBM">#REF!</definedName>
    <definedName name="Total_Adjustments__post_tax__HCFB" localSheetId="6">#REF!</definedName>
    <definedName name="Total_Adjustments__post_tax__HCFB">#REF!</definedName>
    <definedName name="Total_Adjustments__post_tax__RS" localSheetId="6">#REF!</definedName>
    <definedName name="Total_Adjustments__post_tax__RS">#REF!</definedName>
    <definedName name="Total_Adjustments__post_tax__SBR" localSheetId="6">#REF!</definedName>
    <definedName name="Total_Adjustments__post_tax__SBR">#REF!</definedName>
    <definedName name="Total_Adjustments__post_tax__tcs" localSheetId="6">#REF!</definedName>
    <definedName name="Total_Adjustments__post_tax__tcs">#REF!</definedName>
    <definedName name="Total_Assets_Alfa" localSheetId="6">#REF!</definedName>
    <definedName name="Total_Assets_Alfa">#REF!</definedName>
    <definedName name="Total_Assets_CBM" localSheetId="6">#REF!</definedName>
    <definedName name="Total_Assets_CBM">#REF!</definedName>
    <definedName name="Total_Assets_HCFB" localSheetId="6">#REF!</definedName>
    <definedName name="Total_Assets_HCFB">#REF!</definedName>
    <definedName name="Total_Assets_PSB" localSheetId="6">#REF!</definedName>
    <definedName name="Total_Assets_PSB">#REF!</definedName>
    <definedName name="Total_Assets_RS" localSheetId="6">#REF!</definedName>
    <definedName name="Total_Assets_RS">#REF!</definedName>
    <definedName name="Total_Assets_SBR" localSheetId="6">#REF!</definedName>
    <definedName name="Total_Assets_SBR">#REF!</definedName>
    <definedName name="Total_Assets_tcs" localSheetId="6">#REF!</definedName>
    <definedName name="Total_Assets_tcs">#REF!</definedName>
    <definedName name="Total_Capital_Alfa" localSheetId="6">#REF!</definedName>
    <definedName name="Total_Capital_Alfa">#REF!</definedName>
    <definedName name="Total_Capital_CBM" localSheetId="6">#REF!</definedName>
    <definedName name="Total_Capital_CBM">#REF!</definedName>
    <definedName name="Total_Capital_HCFB" localSheetId="6">#REF!</definedName>
    <definedName name="Total_Capital_HCFB">#REF!</definedName>
    <definedName name="Total_Capital_PSB" localSheetId="6">#REF!</definedName>
    <definedName name="Total_Capital_PSB">#REF!</definedName>
    <definedName name="Total_Capital_RS" localSheetId="6">#REF!</definedName>
    <definedName name="Total_Capital_RS">#REF!</definedName>
    <definedName name="Total_Capital_tcs" localSheetId="6">#REF!</definedName>
    <definedName name="Total_Capital_tcs">#REF!</definedName>
    <definedName name="Total_CAR_Alfa" localSheetId="6">#REF!</definedName>
    <definedName name="Total_CAR_Alfa">#REF!</definedName>
    <definedName name="Total_CAR_CBM" localSheetId="6">#REF!</definedName>
    <definedName name="Total_CAR_CBM">#REF!</definedName>
    <definedName name="Total_CAR_HCFB" localSheetId="6">#REF!</definedName>
    <definedName name="Total_CAR_HCFB">#REF!</definedName>
    <definedName name="Total_CAR_PSB" localSheetId="6">#REF!</definedName>
    <definedName name="Total_CAR_PSB">#REF!</definedName>
    <definedName name="Total_CAR_RS" localSheetId="6">#REF!</definedName>
    <definedName name="Total_CAR_RS">#REF!</definedName>
    <definedName name="Total_CAR_SBR" localSheetId="6">#REF!</definedName>
    <definedName name="Total_CAR_SBR">#REF!</definedName>
    <definedName name="Total_CAR_tcs" localSheetId="6">#REF!</definedName>
    <definedName name="Total_CAR_tcs">#REF!</definedName>
    <definedName name="tyjkhj" localSheetId="2" hidden="1">{#N/A,#N/A,FALSE,"Aging Summary";#N/A,#N/A,FALSE,"Ratio Analysis";#N/A,#N/A,FALSE,"Test 120 Day Accts";#N/A,#N/A,FALSE,"Tickmarks"}</definedName>
    <definedName name="tyjkhj" localSheetId="6" hidden="1">{#N/A,#N/A,FALSE,"Aging Summary";#N/A,#N/A,FALSE,"Ratio Analysis";#N/A,#N/A,FALSE,"Test 120 Day Accts";#N/A,#N/A,FALSE,"Tickmarks"}</definedName>
    <definedName name="tyjkhj" localSheetId="5" hidden="1">{#N/A,#N/A,FALSE,"Aging Summary";#N/A,#N/A,FALSE,"Ratio Analysis";#N/A,#N/A,FALSE,"Test 120 Day Accts";#N/A,#N/A,FALSE,"Tickmarks"}</definedName>
    <definedName name="tyjkhj" hidden="1">{#N/A,#N/A,FALSE,"Aging Summary";#N/A,#N/A,FALSE,"Ratio Analysis";#N/A,#N/A,FALSE,"Test 120 Day Accts";#N/A,#N/A,FALSE,"Tickmarks"}</definedName>
    <definedName name="usd_ekv" localSheetId="6">[9]Отч.1!#REF!</definedName>
    <definedName name="usd_ekv">[9]Отч.1!#REF!</definedName>
    <definedName name="usd_stavka" localSheetId="6">[9]Отч.1!#REF!</definedName>
    <definedName name="usd_stavka">[9]Отч.1!#REF!</definedName>
    <definedName name="usd_summa" localSheetId="6">[9]Отч.1!#REF!</definedName>
    <definedName name="usd_summa">[9]Отч.1!#REF!</definedName>
    <definedName name="value" localSheetId="6">[7]Отч.6!#REF!</definedName>
    <definedName name="value">[7]Отч.6!#REF!</definedName>
    <definedName name="value_26" localSheetId="6">[7]Отч.26!#REF!</definedName>
    <definedName name="value_26">[7]Отч.26!#REF!</definedName>
    <definedName name="value_comis_74" localSheetId="2">#REF!</definedName>
    <definedName name="value_comis_74" localSheetId="6">#REF!</definedName>
    <definedName name="value_comis_74" localSheetId="5">#REF!</definedName>
    <definedName name="value_comis_74">#REF!</definedName>
    <definedName name="value_debt_74" localSheetId="2">#REF!</definedName>
    <definedName name="value_debt_74" localSheetId="6">#REF!</definedName>
    <definedName name="value_debt_74" localSheetId="5">#REF!</definedName>
    <definedName name="value_debt_74">#REF!</definedName>
    <definedName name="value_fine_74" localSheetId="2">#REF!</definedName>
    <definedName name="value_fine_74" localSheetId="6">#REF!</definedName>
    <definedName name="value_fine_74" localSheetId="5">#REF!</definedName>
    <definedName name="value_fine_74">#REF!</definedName>
    <definedName name="value_pay_74" localSheetId="6">#REF!</definedName>
    <definedName name="value_pay_74">#REF!</definedName>
    <definedName name="value_per_28_74" localSheetId="6">#REF!</definedName>
    <definedName name="value_per_28_74">#REF!</definedName>
    <definedName name="value_perc_74" localSheetId="6">#REF!</definedName>
    <definedName name="value_perc_74">#REF!</definedName>
    <definedName name="value_risk" localSheetId="6">[7]Отч.8!#REF!</definedName>
    <definedName name="value_risk">[7]Отч.8!#REF!</definedName>
    <definedName name="value_rur_risk" localSheetId="6">[7]Отч.8!#REF!</definedName>
    <definedName name="value_rur_risk">[7]Отч.8!#REF!</definedName>
    <definedName name="value_rvps_26" localSheetId="6">[7]Отч.26!#REF!</definedName>
    <definedName name="value_rvps_26">[7]Отч.26!#REF!</definedName>
    <definedName name="value_usl_26" localSheetId="6">[7]Отч.26!#REF!</definedName>
    <definedName name="value_usl_26">[7]Отч.26!#REF!</definedName>
    <definedName name="value_v_agent_74" localSheetId="2">#REF!</definedName>
    <definedName name="value_v_agent_74" localSheetId="6">#REF!</definedName>
    <definedName name="value_v_agent_74" localSheetId="5">#REF!</definedName>
    <definedName name="value_v_agent_74">#REF!</definedName>
    <definedName name="value_v_bank_74" localSheetId="2">#REF!</definedName>
    <definedName name="value_v_bank_74" localSheetId="6">#REF!</definedName>
    <definedName name="value_v_bank_74" localSheetId="5">#REF!</definedName>
    <definedName name="value_v_bank_74">#REF!</definedName>
    <definedName name="value_w_risk" localSheetId="2">[7]Отч.8!#REF!</definedName>
    <definedName name="value_w_risk" localSheetId="6">[7]Отч.8!#REF!</definedName>
    <definedName name="value_w_risk" localSheetId="5">[7]Отч.8!#REF!</definedName>
    <definedName name="value_w_risk">[7]Отч.8!#REF!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ded._.IAS._.FS." localSheetId="2" hidden="1">{"IASTrail",#N/A,FALSE,"IAS"}</definedName>
    <definedName name="wrn.Coded._.IAS._.FS." localSheetId="6" hidden="1">{"IASTrail",#N/A,FALSE,"IAS"}</definedName>
    <definedName name="wrn.Coded._.IAS._.FS." localSheetId="5" hidden="1">{"IASTrail",#N/A,FALSE,"IAS"}</definedName>
    <definedName name="wrn.Coded._.IAS._.FS." hidden="1">{"IASTrail",#N/A,FALSE,"IAS"}</definedName>
    <definedName name="wrn.Fixed._.Assets._.Note._.and._.Depreciation." localSheetId="2" hidden="1">{#N/A,#N/A,FALSE,"FA_1";#N/A,#N/A,FALSE,"Dep'n SE";#N/A,#N/A,FALSE,"Dep'n FC"}</definedName>
    <definedName name="wrn.Fixed._.Assets._.Note._.and._.Depreciation." localSheetId="6" hidden="1">{#N/A,#N/A,FALSE,"FA_1";#N/A,#N/A,FALSE,"Dep'n SE";#N/A,#N/A,FALSE,"Dep'n FC"}</definedName>
    <definedName name="wrn.Fixed._.Assets._.Note._.and._.Depreciation." localSheetId="5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6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5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6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5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lp." localSheetId="2" hidden="1">{#N/A,#N/A,TRUE,"MAP";#N/A,#N/A,TRUE,"STEPS";#N/A,#N/A,TRUE,"RULES"}</definedName>
    <definedName name="wrn.Help." localSheetId="6" hidden="1">{#N/A,#N/A,TRUE,"MAP";#N/A,#N/A,TRUE,"STEPS";#N/A,#N/A,TRUE,"RULES"}</definedName>
    <definedName name="wrn.Help." localSheetId="5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2" hidden="1">{"IASBS",#N/A,TRUE,"IAS";"IASPL",#N/A,TRUE,"IAS";"IASNotes",#N/A,TRUE,"IAS";"CFDir - expanded",#N/A,TRUE,"CF DIR"}</definedName>
    <definedName name="wrn.IAS._.BS._.PL._.CF._.and._.Notes." localSheetId="6" hidden="1">{"IASBS",#N/A,TRUE,"IAS";"IASPL",#N/A,TRUE,"IAS";"IASNotes",#N/A,TRUE,"IAS";"CFDir - expanded",#N/A,TRUE,"CF DIR"}</definedName>
    <definedName name="wrn.IAS._.BS._.PL._.CF._.and._.Notes." localSheetId="5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6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5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2" hidden="1">{"IAS Mapping",#N/A,TRUE,"RSA_FS"}</definedName>
    <definedName name="wrn.IAS._.Mapping." localSheetId="6" hidden="1">{"IAS Mapping",#N/A,TRUE,"RSA_FS"}</definedName>
    <definedName name="wrn.IAS._.Mapping." localSheetId="5" hidden="1">{"IAS Mapping",#N/A,TRUE,"RSA_FS"}</definedName>
    <definedName name="wrn.IAS._.Mapping." hidden="1">{"IAS Mapping",#N/A,TRUE,"RSA_FS"}</definedName>
    <definedName name="wrn.Inflation._.factors._.used." localSheetId="2" hidden="1">{#N/A,#N/A,FALSE,"Infl_fact"}</definedName>
    <definedName name="wrn.Inflation._.factors._.used." localSheetId="6" hidden="1">{#N/A,#N/A,FALSE,"Infl_fact"}</definedName>
    <definedName name="wrn.Inflation._.factors._.used." localSheetId="5" hidden="1">{#N/A,#N/A,FALSE,"Infl_fact"}</definedName>
    <definedName name="wrn.Inflation._.factors._.used." hidden="1">{#N/A,#N/A,FALSE,"Infl_fact"}</definedName>
    <definedName name="wrn.KH.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PL._.Analysis." localSheetId="2" hidden="1">{"AnalRSA",#N/A,TRUE,"PL-Anal";"AnalIAS",#N/A,TRUE,"PL-Anal"}</definedName>
    <definedName name="wrn.PL._.Analysis." localSheetId="6" hidden="1">{"AnalRSA",#N/A,TRUE,"PL-Anal";"AnalIAS",#N/A,TRUE,"PL-Anal"}</definedName>
    <definedName name="wrn.PL._.Analysis." localSheetId="5" hidden="1">{"AnalRSA",#N/A,TRUE,"PL-Anal";"AnalIAS",#N/A,TRUE,"PL-Anal"}</definedName>
    <definedName name="wrn.PL._.Analysis." hidden="1">{"AnalRSA",#N/A,TRUE,"PL-Anal";"AnalIAS",#N/A,TRUE,"PL-Anal"}</definedName>
    <definedName name="wrn.PL._.Report." localSheetId="2" hidden="1">{"Page1",#N/A,TRUE,"P&amp;LREP";"PAge 2",#N/A,TRUE,"P&amp;LREP";"Page3",#N/A,TRUE,"P&amp;LREP";"Page4",#N/A,TRUE,"P&amp;LREP"}</definedName>
    <definedName name="wrn.PL._.Report." localSheetId="6" hidden="1">{"Page1",#N/A,TRUE,"P&amp;LREP";"PAge 2",#N/A,TRUE,"P&amp;LREP";"Page3",#N/A,TRUE,"P&amp;LREP";"Page4",#N/A,TRUE,"P&amp;LREP"}</definedName>
    <definedName name="wrn.PL._.Report." localSheetId="5" hidden="1">{"Page1",#N/A,TRUE,"P&amp;LREP";"PAge 2",#N/A,TRUE,"P&amp;LREP";"Page3",#N/A,TRUE,"P&amp;LREP";"Page4",#N/A,TRUE,"P&amp;LREP"}</definedName>
    <definedName name="wrn.PL._.Report." hidden="1">{"Page1",#N/A,TRUE,"P&amp;LREP";"PAge 2",#N/A,TRUE,"P&amp;LREP";"Page3",#N/A,TRUE,"P&amp;LREP";"Page4",#N/A,TRUE,"P&amp;LREP"}</definedName>
    <definedName name="wrn.RSA._.BS._.and._.PL." localSheetId="2" hidden="1">{"BS1",#N/A,TRUE,"RSA_FS";"BS2",#N/A,TRUE,"RSA_FS";"BS3",#N/A,TRUE,"RSA_FS"}</definedName>
    <definedName name="wrn.RSA._.BS._.and._.PL." localSheetId="6" hidden="1">{"BS1",#N/A,TRUE,"RSA_FS";"BS2",#N/A,TRUE,"RSA_FS";"BS3",#N/A,TRUE,"RSA_FS"}</definedName>
    <definedName name="wrn.RSA._.BS._.and._.PL." localSheetId="5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test." localSheetId="2" hidden="1">{"Valuation_Common",#N/A,FALSE,"Valuation"}</definedName>
    <definedName name="wrn.test." localSheetId="6" hidden="1">{"Valuation_Common",#N/A,FALSE,"Valuation"}</definedName>
    <definedName name="wrn.test." localSheetId="5" hidden="1">{"Valuation_Common",#N/A,FALSE,"Valuation"}</definedName>
    <definedName name="wrn.test." hidden="1">{"Valuation_Common",#N/A,FALSE,"Valuation"}</definedName>
    <definedName name="wrn.Баланс." localSheetId="2" hidden="1">{#N/A,#N/A,FALSE,"БАЛАНС"}</definedName>
    <definedName name="wrn.Баланс." localSheetId="6" hidden="1">{#N/A,#N/A,FALSE,"БАЛАНС"}</definedName>
    <definedName name="wrn.Баланс." localSheetId="5" hidden="1">{#N/A,#N/A,FALSE,"БАЛАНС"}</definedName>
    <definedName name="wrn.Баланс." hidden="1">{#N/A,#N/A,FALSE,"БАЛАНС"}</definedName>
    <definedName name="wrn.БЕЛЕБЕЕВСКИЙ._.МОЛОЧНЫЙ._.КОМБИНАТ." localSheetId="2" hidden="1">{#N/A,#N/A,TRUE,"Лист1"}</definedName>
    <definedName name="wrn.БЕЛЕБЕЕВСКИЙ._.МОЛОЧНЫЙ._.КОМБИНАТ." localSheetId="6" hidden="1">{#N/A,#N/A,TRUE,"Лист1"}</definedName>
    <definedName name="wrn.БЕЛЕБЕЕВСКИЙ._.МОЛОЧНЫЙ._.КОМБИНАТ." localSheetId="5" hidden="1">{#N/A,#N/A,TRUE,"Лист1"}</definedName>
    <definedName name="wrn.БЕЛЕБЕЕВСКИЙ._.МОЛОЧНЫЙ._.КОМБИНАТ." hidden="1">{#N/A,#N/A,TRUE,"Лист1"}</definedName>
    <definedName name="ws" localSheetId="2" hidden="1">{#N/A,#N/A,FALSE,"Aging Summary";#N/A,#N/A,FALSE,"Ratio Analysis";#N/A,#N/A,FALSE,"Test 120 Day Accts";#N/A,#N/A,FALSE,"Tickmarks"}</definedName>
    <definedName name="ws" localSheetId="6" hidden="1">{#N/A,#N/A,FALSE,"Aging Summary";#N/A,#N/A,FALSE,"Ratio Analysis";#N/A,#N/A,FALSE,"Test 120 Day Accts";#N/A,#N/A,FALSE,"Tickmarks"}</definedName>
    <definedName name="ws" localSheetId="5" hidden="1">{#N/A,#N/A,FALSE,"Aging Summary";#N/A,#N/A,FALSE,"Ratio Analysis";#N/A,#N/A,FALSE,"Test 120 Day Accts";#N/A,#N/A,FALSE,"Tickmarks"}</definedName>
    <definedName name="ws" hidden="1">{#N/A,#N/A,FALSE,"Aging Summary";#N/A,#N/A,FALSE,"Ratio Analysis";#N/A,#N/A,FALSE,"Test 120 Day Accts";#N/A,#N/A,FALSE,"Tickmarks"}</definedName>
    <definedName name="wtre" localSheetId="2" hidden="1">{#N/A,#N/A,FALSE,"Aging Summary";#N/A,#N/A,FALSE,"Ratio Analysis";#N/A,#N/A,FALSE,"Test 120 Day Accts";#N/A,#N/A,FALSE,"Tickmarks"}</definedName>
    <definedName name="wtre" localSheetId="6" hidden="1">{#N/A,#N/A,FALSE,"Aging Summary";#N/A,#N/A,FALSE,"Ratio Analysis";#N/A,#N/A,FALSE,"Test 120 Day Accts";#N/A,#N/A,FALSE,"Tickmarks"}</definedName>
    <definedName name="wtre" localSheetId="5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w" localSheetId="6">[12]Отч.1!#REF!</definedName>
    <definedName name="www">[12]Отч.1!#REF!</definedName>
    <definedName name="XLRPARAMS_Param1" hidden="1">[13]XLR_NoRangeSheet!$J$6</definedName>
    <definedName name="XLRPARAMS_Param2" hidden="1">[14]XLR_NoRangeSheet!$I$6</definedName>
    <definedName name="XREF_COLUMN_1" localSheetId="2" hidden="1">[15]трансформация1!#REF!</definedName>
    <definedName name="XREF_COLUMN_1" localSheetId="6" hidden="1">[15]трансформация1!#REF!</definedName>
    <definedName name="XREF_COLUMN_1" localSheetId="5" hidden="1">[15]трансформация1!#REF!</definedName>
    <definedName name="XREF_COLUMN_1" hidden="1">[15]трансформация1!#REF!</definedName>
    <definedName name="XRefActiveRow" localSheetId="2" hidden="1">#REF!</definedName>
    <definedName name="XRefActiveRow" localSheetId="6" hidden="1">#REF!</definedName>
    <definedName name="XRefActiveRow" localSheetId="5" hidden="1">#REF!</definedName>
    <definedName name="XRefActiveRow" hidden="1">#REF!</definedName>
    <definedName name="XRefColumnsCount" hidden="1">1</definedName>
    <definedName name="XRefCopy1" localSheetId="2" hidden="1">[15]трансформация1!#REF!</definedName>
    <definedName name="XRefCopy1" localSheetId="6" hidden="1">[15]трансформация1!#REF!</definedName>
    <definedName name="XRefCopy1" localSheetId="5" hidden="1">[15]трансформация1!#REF!</definedName>
    <definedName name="XRefCopy1" hidden="1">[15]трансформация1!#REF!</definedName>
    <definedName name="XRefCopy1Row" localSheetId="2" hidden="1">#REF!</definedName>
    <definedName name="XRefCopy1Row" localSheetId="6" hidden="1">#REF!</definedName>
    <definedName name="XRefCopy1Row" localSheetId="5" hidden="1">#REF!</definedName>
    <definedName name="XRefCopy1Row" hidden="1">#REF!</definedName>
    <definedName name="XRefCopy2" localSheetId="6" hidden="1">[15]трансформация1!#REF!</definedName>
    <definedName name="XRefCopy2" hidden="1">[15]трансформация1!#REF!</definedName>
    <definedName name="XRefCopy2Row" localSheetId="2" hidden="1">#REF!</definedName>
    <definedName name="XRefCopy2Row" localSheetId="6" hidden="1">#REF!</definedName>
    <definedName name="XRefCopy2Row" localSheetId="5" hidden="1">#REF!</definedName>
    <definedName name="XRefCopy2Row" hidden="1">#REF!</definedName>
    <definedName name="XRefCopy3" localSheetId="6" hidden="1">[15]трансформация1!#REF!</definedName>
    <definedName name="XRefCopy3" hidden="1">[15]трансформация1!#REF!</definedName>
    <definedName name="XRefCopy3Row" localSheetId="2" hidden="1">#REF!</definedName>
    <definedName name="XRefCopy3Row" localSheetId="6" hidden="1">#REF!</definedName>
    <definedName name="XRefCopy3Row" localSheetId="5" hidden="1">#REF!</definedName>
    <definedName name="XRefCopy3Row" hidden="1">#REF!</definedName>
    <definedName name="XRefCopyRangeCount" hidden="1">3</definedName>
    <definedName name="XRefPaste1" localSheetId="6" hidden="1">[15]трансформация1!#REF!</definedName>
    <definedName name="XRefPaste1" hidden="1">[15]трансформация1!#REF!</definedName>
    <definedName name="XRefPaste1Row" localSheetId="2" hidden="1">#REF!</definedName>
    <definedName name="XRefPaste1Row" localSheetId="6" hidden="1">#REF!</definedName>
    <definedName name="XRefPaste1Row" localSheetId="5" hidden="1">#REF!</definedName>
    <definedName name="XRefPaste1Row" hidden="1">#REF!</definedName>
    <definedName name="XRefPaste2" localSheetId="6" hidden="1">[15]трансформация1!#REF!</definedName>
    <definedName name="XRefPaste2" hidden="1">[15]трансформация1!#REF!</definedName>
    <definedName name="XRefPaste2Row" localSheetId="2" hidden="1">#REF!</definedName>
    <definedName name="XRefPaste2Row" localSheetId="6" hidden="1">#REF!</definedName>
    <definedName name="XRefPaste2Row" localSheetId="5" hidden="1">#REF!</definedName>
    <definedName name="XRefPaste2Row" hidden="1">#REF!</definedName>
    <definedName name="XRefPaste3" localSheetId="6" hidden="1">[15]трансформация1!#REF!</definedName>
    <definedName name="XRefPaste3" hidden="1">[15]трансформация1!#REF!</definedName>
    <definedName name="XRefPaste3Row" localSheetId="2" hidden="1">#REF!</definedName>
    <definedName name="XRefPaste3Row" localSheetId="6" hidden="1">#REF!</definedName>
    <definedName name="XRefPaste3Row" localSheetId="5" hidden="1">#REF!</definedName>
    <definedName name="XRefPaste3Row" hidden="1">#REF!</definedName>
    <definedName name="XRefPaste4" localSheetId="6" hidden="1">[15]трансформация1!#REF!</definedName>
    <definedName name="XRefPaste4" hidden="1">[15]трансформация1!#REF!</definedName>
    <definedName name="XRefPaste4Row" localSheetId="2" hidden="1">#REF!</definedName>
    <definedName name="XRefPaste4Row" localSheetId="6" hidden="1">#REF!</definedName>
    <definedName name="XRefPaste4Row" localSheetId="5" hidden="1">#REF!</definedName>
    <definedName name="XRefPaste4Row" hidden="1">#REF!</definedName>
    <definedName name="XRefPasteRangeCount" hidden="1">4</definedName>
    <definedName name="YearStart1" localSheetId="2">#REF!</definedName>
    <definedName name="YearStart1" localSheetId="6">#REF!</definedName>
    <definedName name="YearStart1" localSheetId="5">#REF!</definedName>
    <definedName name="YearStart1">#REF!</definedName>
    <definedName name="YearStart2" localSheetId="2">#REF!</definedName>
    <definedName name="YearStart2" localSheetId="6">#REF!</definedName>
    <definedName name="YearStart2" localSheetId="5">#REF!</definedName>
    <definedName name="YearStart2">#REF!</definedName>
    <definedName name="YearStart3" localSheetId="2">#REF!</definedName>
    <definedName name="YearStart3" localSheetId="6">#REF!</definedName>
    <definedName name="YearStart3" localSheetId="5">#REF!</definedName>
    <definedName name="YearStart3">#REF!</definedName>
    <definedName name="YearStart4" localSheetId="6">#REF!</definedName>
    <definedName name="YearStart4">#REF!</definedName>
    <definedName name="YearStart5" localSheetId="6">#REF!</definedName>
    <definedName name="YearStart5">#REF!</definedName>
    <definedName name="YearStart6" localSheetId="6">#REF!</definedName>
    <definedName name="YearStart6">#REF!</definedName>
    <definedName name="YearStart7" localSheetId="6">#REF!</definedName>
    <definedName name="YearStart7">#REF!</definedName>
    <definedName name="z" localSheetId="2" hidden="1">{"IASTrail",#N/A,FALSE,"IAS"}</definedName>
    <definedName name="z" localSheetId="6" hidden="1">{"IASTrail",#N/A,FALSE,"IAS"}</definedName>
    <definedName name="z" localSheetId="5" hidden="1">{"IASTrail",#N/A,FALSE,"IAS"}</definedName>
    <definedName name="z" hidden="1">{"IASTrail",#N/A,FALSE,"IAS"}</definedName>
    <definedName name="Z_85B0ED75_B773_44FF_B36D_C46A7C8175E9_.wvu.PrintArea" localSheetId="2" hidden="1">#REF!</definedName>
    <definedName name="Z_85B0ED75_B773_44FF_B36D_C46A7C8175E9_.wvu.PrintArea" localSheetId="6" hidden="1">#REF!</definedName>
    <definedName name="Z_85B0ED75_B773_44FF_B36D_C46A7C8175E9_.wvu.PrintArea" localSheetId="5" hidden="1">#REF!</definedName>
    <definedName name="Z_85B0ED75_B773_44FF_B36D_C46A7C8175E9_.wvu.PrintArea" hidden="1">#REF!</definedName>
    <definedName name="Z_85B0ED75_B773_44FF_B36D_C46A7C8175E9_.wvu.PrintTitles" localSheetId="2" hidden="1">#REF!</definedName>
    <definedName name="Z_85B0ED75_B773_44FF_B36D_C46A7C8175E9_.wvu.PrintTitles" localSheetId="6" hidden="1">#REF!</definedName>
    <definedName name="Z_85B0ED75_B773_44FF_B36D_C46A7C8175E9_.wvu.PrintTitles" localSheetId="5" hidden="1">#REF!</definedName>
    <definedName name="Z_85B0ED75_B773_44FF_B36D_C46A7C8175E9_.wvu.PrintTitles" hidden="1">#REF!</definedName>
    <definedName name="Z_9673D06C_8E2D_4E41_BE89_13756C9C3BAE_.wvu.PrintArea" localSheetId="2" hidden="1">#REF!</definedName>
    <definedName name="Z_9673D06C_8E2D_4E41_BE89_13756C9C3BAE_.wvu.PrintArea" localSheetId="6" hidden="1">#REF!</definedName>
    <definedName name="Z_9673D06C_8E2D_4E41_BE89_13756C9C3BAE_.wvu.PrintArea" localSheetId="5" hidden="1">#REF!</definedName>
    <definedName name="Z_9673D06C_8E2D_4E41_BE89_13756C9C3BAE_.wvu.PrintArea" hidden="1">#REF!</definedName>
    <definedName name="аекодфоа" localSheetId="2" hidden="1">{"IASBS",#N/A,TRUE,"IAS";"IASPL",#N/A,TRUE,"IAS";"IASNotes",#N/A,TRUE,"IAS";"CFDir - expanded",#N/A,TRUE,"CF DIR"}</definedName>
    <definedName name="аекодфоа" localSheetId="6" hidden="1">{"IASBS",#N/A,TRUE,"IAS";"IASPL",#N/A,TRUE,"IAS";"IASNotes",#N/A,TRUE,"IAS";"CFDir - expanded",#N/A,TRUE,"CF DIR"}</definedName>
    <definedName name="аекодфоа" localSheetId="5" hidden="1">{"IASBS",#N/A,TRUE,"IAS";"IASPL",#N/A,TRUE,"IAS";"IASNotes",#N/A,TRUE,"IAS";"CFDir - expanded",#N/A,TRUE,"CF DIR"}</definedName>
    <definedName name="аекодфоа" hidden="1">{"IASBS",#N/A,TRUE,"IAS";"IASPL",#N/A,TRUE,"IAS";"IASNotes",#N/A,TRUE,"IAS";"CFDir - expanded",#N/A,TRUE,"CF DIR"}</definedName>
    <definedName name="_xlnm.Database" localSheetId="2">#REF!</definedName>
    <definedName name="_xlnm.Database" localSheetId="6">#REF!</definedName>
    <definedName name="_xlnm.Database" localSheetId="5">#REF!</definedName>
    <definedName name="_xlnm.Database">#REF!</definedName>
    <definedName name="вваыв" localSheetId="2" hidden="1">#REF!</definedName>
    <definedName name="вваыв" localSheetId="6" hidden="1">#REF!</definedName>
    <definedName name="вваыв" localSheetId="5" hidden="1">#REF!</definedName>
    <definedName name="вваыв" hidden="1">#REF!</definedName>
    <definedName name="вла" localSheetId="2" hidden="1">{#N/A,#N/A,FALSE,"Aging Summary";#N/A,#N/A,FALSE,"Ratio Analysis";#N/A,#N/A,FALSE,"Test 120 Day Accts";#N/A,#N/A,FALSE,"Tickmarks"}</definedName>
    <definedName name="вла" localSheetId="6" hidden="1">{#N/A,#N/A,FALSE,"Aging Summary";#N/A,#N/A,FALSE,"Ratio Analysis";#N/A,#N/A,FALSE,"Test 120 Day Accts";#N/A,#N/A,FALSE,"Tickmarks"}</definedName>
    <definedName name="вла" localSheetId="5" hidden="1">{#N/A,#N/A,FALSE,"Aging Summary";#N/A,#N/A,FALSE,"Ratio Analysis";#N/A,#N/A,FALSE,"Test 120 Day Accts";#N/A,#N/A,FALSE,"Tickmarks"}</definedName>
    <definedName name="вла" hidden="1">{#N/A,#N/A,FALSE,"Aging Summary";#N/A,#N/A,FALSE,"Ratio Analysis";#N/A,#N/A,FALSE,"Test 120 Day Accts";#N/A,#N/A,FALSE,"Tickmarks"}</definedName>
    <definedName name="е" localSheetId="2" hidden="1">{#N/A,#N/A,FALSE,"Aging Summary";#N/A,#N/A,FALSE,"Ratio Analysis";#N/A,#N/A,FALSE,"Test 120 Day Accts";#N/A,#N/A,FALSE,"Tickmarks"}</definedName>
    <definedName name="е" localSheetId="6" hidden="1">{#N/A,#N/A,FALSE,"Aging Summary";#N/A,#N/A,FALSE,"Ratio Analysis";#N/A,#N/A,FALSE,"Test 120 Day Accts";#N/A,#N/A,FALSE,"Tickmarks"}</definedName>
    <definedName name="е" localSheetId="5" hidden="1">{#N/A,#N/A,FALSE,"Aging Summary";#N/A,#N/A,FALSE,"Ratio Analysis";#N/A,#N/A,FALSE,"Test 120 Day Accts";#N/A,#N/A,FALSE,"Tickmarks"}</definedName>
    <definedName name="е" hidden="1">{#N/A,#N/A,FALSE,"Aging Summary";#N/A,#N/A,FALSE,"Ratio Analysis";#N/A,#N/A,FALSE,"Test 120 Day Accts";#N/A,#N/A,FALSE,"Tickmarks"}</definedName>
    <definedName name="_xlnm.Criteria" localSheetId="6">[16]workfile!#REF!</definedName>
    <definedName name="_xlnm.Criteria">[16]workfile!#REF!</definedName>
    <definedName name="ннннннннн" localSheetId="2" hidden="1">{0,0,0,0;0,0,0,0;0,#VALUE!,FALSE,0;#N/A,#N/A,FALSE,0}</definedName>
    <definedName name="ннннннннн" localSheetId="6" hidden="1">{0,0,0,0;0,0,0,0;0,#VALUE!,FALSE,0;#N/A,#N/A,FALSE,0}</definedName>
    <definedName name="ннннннннн" localSheetId="5" hidden="1">{0,0,0,0;0,0,0,0;0,#VALUE!,FALSE,0;#N/A,#N/A,FALSE,0}</definedName>
    <definedName name="ннннннннн" hidden="1">{0,0,0,0;0,0,0,0;0,#VALUE!,FALSE,0;#N/A,#N/A,FALSE,0}</definedName>
    <definedName name="оадо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оадо" localSheetId="6" hidden="1">{"IAS Mapping",#N/A,FALSE,"RSA_FS";#N/A,#N/A,FALSE,"CHECK!";#N/A,#N/A,FALSE,"Recon";#N/A,#N/A,FALSE,"NMG";#N/A,#N/A,FALSE,"Journals";"AnalRSA",#N/A,FALSE,"PL-Anal";"AnalIAS",#N/A,FALSE,"PL-Anal";#N/A,#N/A,FALSE,"COS"}</definedName>
    <definedName name="оадо" localSheetId="5" hidden="1">{"IAS Mapping",#N/A,FALSE,"RSA_FS";#N/A,#N/A,FALSE,"CHECK!";#N/A,#N/A,FALSE,"Recon";#N/A,#N/A,FALSE,"NMG";#N/A,#N/A,FALSE,"Journals";"AnalRSA",#N/A,FALSE,"PL-Anal";"AnalIAS",#N/A,FALSE,"PL-Anal";#N/A,#N/A,FALSE,"COS"}</definedName>
    <definedName name="оадо" hidden="1">{"IAS Mapping",#N/A,FALSE,"RSA_FS";#N/A,#N/A,FALSE,"CHECK!";#N/A,#N/A,FALSE,"Recon";#N/A,#N/A,FALSE,"NMG";#N/A,#N/A,FALSE,"Journals";"AnalRSA",#N/A,FALSE,"PL-Anal";"AnalIAS",#N/A,FALSE,"PL-Anal";#N/A,#N/A,FALSE,"COS"}</definedName>
    <definedName name="_xlnm.Print_Area" localSheetId="0">Sovcombank!$B$1:$BB$570</definedName>
    <definedName name="_xlnm.Print_Area">[17]lx_xx!$R$14:$X$48</definedName>
    <definedName name="ф" localSheetId="2" hidden="1">{#N/A,#N/A,FALSE,"Aging Summary";#N/A,#N/A,FALSE,"Ratio Analysis";#N/A,#N/A,FALSE,"Test 120 Day Accts";#N/A,#N/A,FALSE,"Tickmarks"}</definedName>
    <definedName name="ф" localSheetId="6" hidden="1">{#N/A,#N/A,FALSE,"Aging Summary";#N/A,#N/A,FALSE,"Ratio Analysis";#N/A,#N/A,FALSE,"Test 120 Day Accts";#N/A,#N/A,FALSE,"Tickmarks"}</definedName>
    <definedName name="ф" localSheetId="5" hidden="1">{#N/A,#N/A,FALSE,"Aging Summary";#N/A,#N/A,FALSE,"Ratio Analysis";#N/A,#N/A,FALSE,"Test 120 Day Accts";#N/A,#N/A,FALSE,"Tickmarks"}</definedName>
    <definedName name="ф" hidden="1">{#N/A,#N/A,FALSE,"Aging Summary";#N/A,#N/A,FALSE,"Ratio Analysis";#N/A,#N/A,FALSE,"Test 120 Day Accts";#N/A,#N/A,FALSE,"Tickmarks"}</definedName>
    <definedName name="ц" localSheetId="2" hidden="1">{#N/A,#N/A,FALSE,"Aging Summary";#N/A,#N/A,FALSE,"Ratio Analysis";#N/A,#N/A,FALSE,"Test 120 Day Accts";#N/A,#N/A,FALSE,"Tickmarks"}</definedName>
    <definedName name="ц" localSheetId="6" hidden="1">{#N/A,#N/A,FALSE,"Aging Summary";#N/A,#N/A,FALSE,"Ratio Analysis";#N/A,#N/A,FALSE,"Test 120 Day Accts";#N/A,#N/A,FALSE,"Tickmarks"}</definedName>
    <definedName name="ц" localSheetId="5" hidden="1">{#N/A,#N/A,FALSE,"Aging Summary";#N/A,#N/A,FALSE,"Ratio Analysis";#N/A,#N/A,FALSE,"Test 120 Day Accts";#N/A,#N/A,FALSE,"Tickmarks"}</definedName>
    <definedName name="ц" hidden="1">{#N/A,#N/A,FALSE,"Aging Summary";#N/A,#N/A,FALSE,"Ratio Analysis";#N/A,#N/A,FALSE,"Test 120 Day Accts";#N/A,#N/A,FALSE,"Tickmarks"}</definedName>
    <definedName name="ца" localSheetId="2" hidden="1">{#N/A,#N/A,FALSE,"Aging Summary";#N/A,#N/A,FALSE,"Ratio Analysis";#N/A,#N/A,FALSE,"Test 120 Day Accts";#N/A,#N/A,FALSE,"Tickmarks"}</definedName>
    <definedName name="ца" localSheetId="6" hidden="1">{#N/A,#N/A,FALSE,"Aging Summary";#N/A,#N/A,FALSE,"Ratio Analysis";#N/A,#N/A,FALSE,"Test 120 Day Accts";#N/A,#N/A,FALSE,"Tickmarks"}</definedName>
    <definedName name="ца" localSheetId="5" hidden="1">{#N/A,#N/A,FALSE,"Aging Summary";#N/A,#N/A,FALSE,"Ratio Analysis";#N/A,#N/A,FALSE,"Test 120 Day Accts";#N/A,#N/A,FALSE,"Tickmarks"}</definedName>
    <definedName name="ца" hidden="1">{#N/A,#N/A,FALSE,"Aging Summary";#N/A,#N/A,FALSE,"Ratio Analysis";#N/A,#N/A,FALSE,"Test 120 Day Accts";#N/A,#N/A,FALSE,"Tickmarks"}</definedName>
    <definedName name="ЫВВЫВЫВ" localSheetId="2" hidden="1">#REF!</definedName>
    <definedName name="ЫВВЫВЫВ" localSheetId="6" hidden="1">#REF!</definedName>
    <definedName name="ЫВВЫВЫВ" localSheetId="5" hidden="1">#REF!</definedName>
    <definedName name="ЫВВЫВЫВ" hidden="1">#REF!</definedName>
    <definedName name="Ыгь" localSheetId="2" hidden="1">{#N/A,#N/A,FALSE,"Aging Summary";#N/A,#N/A,FALSE,"Ratio Analysis";#N/A,#N/A,FALSE,"Test 120 Day Accts";#N/A,#N/A,FALSE,"Tickmarks"}</definedName>
    <definedName name="Ыгь" localSheetId="6" hidden="1">{#N/A,#N/A,FALSE,"Aging Summary";#N/A,#N/A,FALSE,"Ratio Analysis";#N/A,#N/A,FALSE,"Test 120 Day Accts";#N/A,#N/A,FALSE,"Tickmarks"}</definedName>
    <definedName name="Ыгь" localSheetId="5" hidden="1">{#N/A,#N/A,FALSE,"Aging Summary";#N/A,#N/A,FALSE,"Ratio Analysis";#N/A,#N/A,FALSE,"Test 120 Day Accts";#N/A,#N/A,FALSE,"Tickmarks"}</definedName>
    <definedName name="Ыгь" hidden="1">{#N/A,#N/A,FALSE,"Aging Summary";#N/A,#N/A,FALSE,"Ratio Analysis";#N/A,#N/A,FALSE,"Test 120 Day Accts";#N/A,#N/A,FALSE,"Tickmarks"}</definedName>
  </definedNames>
  <calcPr calcId="162913"/>
</workbook>
</file>

<file path=xl/calcChain.xml><?xml version="1.0" encoding="utf-8"?>
<calcChain xmlns="http://schemas.openxmlformats.org/spreadsheetml/2006/main">
  <c r="AW170" i="27" l="1"/>
  <c r="AX170" i="27"/>
  <c r="AU170" i="27"/>
  <c r="AV170" i="27"/>
  <c r="AY40" i="32" l="1"/>
  <c r="AC40" i="32"/>
  <c r="AB40" i="32"/>
  <c r="AA40" i="32"/>
  <c r="AB42" i="32"/>
  <c r="AJ40" i="32"/>
  <c r="L15" i="67" l="1"/>
  <c r="M15" i="67"/>
  <c r="O15" i="67"/>
  <c r="P15" i="67"/>
  <c r="Q15" i="67"/>
  <c r="T15" i="67"/>
  <c r="AH428" i="27" l="1"/>
  <c r="AI428" i="27"/>
  <c r="AJ428" i="27"/>
  <c r="AK428" i="27"/>
  <c r="AL428" i="27"/>
  <c r="AM428" i="27"/>
  <c r="AN428" i="27"/>
  <c r="AP428" i="27"/>
  <c r="AQ428" i="27"/>
  <c r="AW428" i="27"/>
  <c r="AH429" i="27"/>
  <c r="AI429" i="27"/>
  <c r="AJ429" i="27"/>
  <c r="AK429" i="27"/>
  <c r="AL429" i="27"/>
  <c r="AM429" i="27"/>
  <c r="AN429" i="27"/>
  <c r="AP429" i="27"/>
  <c r="AQ429" i="27"/>
  <c r="AR429" i="27"/>
  <c r="AW429" i="27"/>
  <c r="AH430" i="27"/>
  <c r="AI430" i="27"/>
  <c r="AJ430" i="27"/>
  <c r="AK430" i="27"/>
  <c r="AL430" i="27"/>
  <c r="AM430" i="27"/>
  <c r="AN430" i="27"/>
  <c r="AP430" i="27"/>
  <c r="AQ430" i="27"/>
  <c r="AR430" i="27"/>
  <c r="AW430" i="27"/>
  <c r="AI427" i="27" l="1"/>
  <c r="AI40" i="32"/>
  <c r="AY42" i="32"/>
  <c r="AR42" i="32"/>
  <c r="AJ42" i="32"/>
  <c r="X42" i="32"/>
  <c r="AR428" i="27" l="1"/>
  <c r="K15" i="67" l="1"/>
  <c r="U477" i="27" l="1"/>
  <c r="P477" i="27"/>
  <c r="Q477" i="27"/>
  <c r="R477" i="27"/>
  <c r="T477" i="27"/>
  <c r="V477" i="27"/>
  <c r="W477" i="27"/>
  <c r="X477" i="27"/>
  <c r="Y477" i="27"/>
  <c r="Z477" i="27"/>
  <c r="AA477" i="27"/>
  <c r="AB477" i="27"/>
  <c r="AC477" i="27"/>
  <c r="AD477" i="27"/>
  <c r="AE477" i="27"/>
  <c r="AF477" i="27"/>
  <c r="AG477" i="27"/>
  <c r="AQ477" i="27"/>
  <c r="AN477" i="27"/>
  <c r="AO477" i="27"/>
  <c r="AP477" i="27"/>
  <c r="AM477" i="27"/>
  <c r="AL477" i="27"/>
  <c r="AK477" i="27"/>
  <c r="AI477" i="27"/>
  <c r="AJ477" i="27"/>
  <c r="AH477" i="27"/>
  <c r="AH488" i="27"/>
  <c r="X488" i="27" l="1"/>
  <c r="AN468" i="27" l="1"/>
  <c r="AN466" i="27"/>
  <c r="AN467" i="27"/>
  <c r="AP466" i="27"/>
  <c r="AP467" i="27"/>
  <c r="AP468" i="27"/>
  <c r="AT477" i="27" l="1"/>
  <c r="AV40" i="38" l="1"/>
  <c r="AV39" i="38"/>
  <c r="AV38" i="38"/>
  <c r="AO40" i="38"/>
  <c r="AO39" i="38"/>
  <c r="AO38" i="38"/>
  <c r="AJ40" i="38" l="1"/>
  <c r="AJ39" i="38"/>
  <c r="AJ38" i="38"/>
  <c r="AX468" i="27"/>
  <c r="AX466" i="27" l="1"/>
  <c r="AX467" i="27"/>
  <c r="AY483" i="27"/>
  <c r="AY482" i="27" l="1"/>
  <c r="AC57" i="30" l="1"/>
  <c r="AC58" i="30"/>
  <c r="AC37" i="30"/>
  <c r="AC46" i="30" s="1"/>
  <c r="AC32" i="30"/>
  <c r="AC45" i="30" s="1"/>
  <c r="AC47" i="31"/>
  <c r="AC24" i="31"/>
  <c r="AC43" i="31"/>
  <c r="AK51" i="32"/>
  <c r="AK45" i="32"/>
  <c r="AK42" i="32"/>
  <c r="AC28" i="32"/>
  <c r="AK28" i="32" s="1"/>
  <c r="AC29" i="32"/>
  <c r="AK29" i="32" s="1"/>
  <c r="AG45" i="29"/>
  <c r="AG46" i="29"/>
  <c r="AG47" i="29"/>
  <c r="AD311" i="27"/>
  <c r="AE311" i="27"/>
  <c r="AF311" i="27"/>
  <c r="AG311" i="27"/>
  <c r="AH311" i="27"/>
  <c r="AI311" i="27"/>
  <c r="AJ311" i="27"/>
  <c r="AK311" i="27"/>
  <c r="AL311" i="27"/>
  <c r="AM311" i="27"/>
  <c r="AN311" i="27"/>
  <c r="AO311" i="27"/>
  <c r="AP311" i="27"/>
  <c r="AQ311" i="27"/>
  <c r="AR311" i="27"/>
  <c r="V302" i="27"/>
  <c r="W302" i="27"/>
  <c r="X302" i="27"/>
  <c r="Y302" i="27"/>
  <c r="Z302" i="27"/>
  <c r="AA302" i="27"/>
  <c r="AB302" i="27"/>
  <c r="AC302" i="27"/>
  <c r="AD302" i="27"/>
  <c r="AE302" i="27"/>
  <c r="AF302" i="27"/>
  <c r="AG302" i="27"/>
  <c r="AH302" i="27"/>
  <c r="AI302" i="27"/>
  <c r="AJ302" i="27"/>
  <c r="AK302" i="27"/>
  <c r="AL302" i="27"/>
  <c r="AM302" i="27"/>
  <c r="AN302" i="27"/>
  <c r="AO302" i="27"/>
  <c r="AP302" i="27"/>
  <c r="AQ302" i="27"/>
  <c r="AR302" i="27"/>
  <c r="R301" i="27"/>
  <c r="S301" i="27"/>
  <c r="T301" i="27"/>
  <c r="U301" i="27"/>
  <c r="V301" i="27"/>
  <c r="W301" i="27"/>
  <c r="X301" i="27"/>
  <c r="Y301" i="27"/>
  <c r="Z301" i="27"/>
  <c r="AA301" i="27"/>
  <c r="AB301" i="27"/>
  <c r="AC301" i="27"/>
  <c r="AD301" i="27"/>
  <c r="AE301" i="27"/>
  <c r="AF301" i="27"/>
  <c r="AG301" i="27"/>
  <c r="AH301" i="27"/>
  <c r="AI301" i="27"/>
  <c r="AJ301" i="27"/>
  <c r="AK301" i="27"/>
  <c r="AL301" i="27"/>
  <c r="AM301" i="27"/>
  <c r="AN301" i="27"/>
  <c r="AO301" i="27"/>
  <c r="AP301" i="27"/>
  <c r="AQ301" i="27"/>
  <c r="AR301" i="27"/>
  <c r="AX371" i="27"/>
  <c r="AX425" i="27"/>
  <c r="AX443" i="27"/>
  <c r="AX444" i="27"/>
  <c r="AX445" i="27"/>
  <c r="AX447" i="27"/>
  <c r="AX448" i="27"/>
  <c r="AX449" i="27"/>
  <c r="AX461" i="27"/>
  <c r="AX462" i="27"/>
  <c r="AO38" i="29" s="1"/>
  <c r="AX463" i="27"/>
  <c r="AO39" i="29" s="1"/>
  <c r="AX428" i="27"/>
  <c r="AX429" i="27"/>
  <c r="AX430" i="27"/>
  <c r="AC42" i="31"/>
  <c r="AC41" i="31"/>
  <c r="AC39" i="31"/>
  <c r="AC38" i="31"/>
  <c r="AX522" i="27"/>
  <c r="AC72" i="30"/>
  <c r="AC26" i="30" s="1"/>
  <c r="AC71" i="30"/>
  <c r="AX515" i="27"/>
  <c r="AC32" i="32"/>
  <c r="AK32" i="32" s="1"/>
  <c r="AC59" i="30"/>
  <c r="AC27" i="32"/>
  <c r="AK27" i="32" s="1"/>
  <c r="BA226" i="27"/>
  <c r="AX223" i="27"/>
  <c r="AX230" i="27" s="1"/>
  <c r="BA225" i="27"/>
  <c r="AX159" i="27"/>
  <c r="AX160" i="27"/>
  <c r="AX161" i="27"/>
  <c r="AX162" i="27"/>
  <c r="AX151" i="27"/>
  <c r="AX153" i="27"/>
  <c r="AX477" i="27"/>
  <c r="AX101" i="27"/>
  <c r="AX102" i="27"/>
  <c r="AX103" i="27"/>
  <c r="AC45" i="31"/>
  <c r="AC44" i="31"/>
  <c r="AC35" i="31"/>
  <c r="AO37" i="29" l="1"/>
  <c r="AK21" i="31"/>
  <c r="AC25" i="30"/>
  <c r="AX509" i="27"/>
  <c r="BA224" i="27"/>
  <c r="AG25" i="29"/>
  <c r="AX109" i="27"/>
  <c r="AX464" i="27" s="1"/>
  <c r="AX508" i="27"/>
  <c r="BA227" i="27"/>
  <c r="BB197" i="27"/>
  <c r="BA196" i="27"/>
  <c r="AX427" i="27"/>
  <c r="AK41" i="32"/>
  <c r="AK40" i="32" s="1"/>
  <c r="AJ36" i="38"/>
  <c r="AC31" i="32"/>
  <c r="AK31" i="32" s="1"/>
  <c r="AX320" i="27"/>
  <c r="AX325" i="27" s="1"/>
  <c r="AX324" i="27"/>
  <c r="AX215" i="27"/>
  <c r="AX310" i="27"/>
  <c r="AC47" i="38"/>
  <c r="AC60" i="30"/>
  <c r="AJ25" i="38"/>
  <c r="AC30" i="32"/>
  <c r="AK30" i="32" s="1"/>
  <c r="AC46" i="38"/>
  <c r="AC52" i="30"/>
  <c r="AC9" i="30" s="1"/>
  <c r="AJ26" i="38"/>
  <c r="AC51" i="30"/>
  <c r="AC13" i="30" s="1"/>
  <c r="AC22" i="32"/>
  <c r="AK22" i="32" s="1"/>
  <c r="AC21" i="32"/>
  <c r="AK21" i="32" s="1"/>
  <c r="AC70" i="30"/>
  <c r="AC24" i="30" s="1"/>
  <c r="AX452" i="27"/>
  <c r="AX457" i="27" s="1"/>
  <c r="AO15" i="29" s="1"/>
  <c r="BA202" i="27"/>
  <c r="AC44" i="38"/>
  <c r="AC56" i="30"/>
  <c r="AX521" i="27"/>
  <c r="AX507" i="27"/>
  <c r="AK25" i="31"/>
  <c r="AX517" i="27"/>
  <c r="AC69" i="30"/>
  <c r="AC23" i="30" s="1"/>
  <c r="AC20" i="32"/>
  <c r="AK20" i="32" s="1"/>
  <c r="AX68" i="27"/>
  <c r="AC36" i="31" s="1"/>
  <c r="AC19" i="32"/>
  <c r="AC54" i="30"/>
  <c r="AC11" i="30" s="1"/>
  <c r="AC76" i="30"/>
  <c r="AX303" i="27"/>
  <c r="AC53" i="30"/>
  <c r="AC15" i="30" s="1"/>
  <c r="AC75" i="30"/>
  <c r="AC27" i="30" s="1"/>
  <c r="AX451" i="27"/>
  <c r="AX456" i="27" s="1"/>
  <c r="AO14" i="29" s="1"/>
  <c r="AC61" i="30"/>
  <c r="AX249" i="27"/>
  <c r="AG24" i="29"/>
  <c r="AX453" i="27"/>
  <c r="AX458" i="27" s="1"/>
  <c r="AO16" i="29" s="1"/>
  <c r="AC52" i="38"/>
  <c r="AC45" i="38"/>
  <c r="AJ24" i="38"/>
  <c r="AK18" i="31"/>
  <c r="AC50" i="31"/>
  <c r="AX216" i="27"/>
  <c r="AX518" i="27"/>
  <c r="AX511" i="27"/>
  <c r="AX190" i="27"/>
  <c r="AX214" i="27"/>
  <c r="AX519" i="27"/>
  <c r="AX243" i="27"/>
  <c r="AX248" i="27"/>
  <c r="AX510" i="27"/>
  <c r="AX213" i="27"/>
  <c r="AX514" i="27"/>
  <c r="AX512" i="27"/>
  <c r="AX312" i="27"/>
  <c r="AX516" i="27"/>
  <c r="AX238" i="27"/>
  <c r="AX189" i="27"/>
  <c r="AX207" i="27"/>
  <c r="AX202" i="27"/>
  <c r="AC68" i="30" s="1"/>
  <c r="AC22" i="30" s="1"/>
  <c r="AX198" i="27"/>
  <c r="AC53" i="38" s="1"/>
  <c r="AX188" i="27"/>
  <c r="AX96" i="27"/>
  <c r="AK16" i="31" s="1"/>
  <c r="AX87" i="27"/>
  <c r="AX469" i="27" s="1"/>
  <c r="AX56" i="27"/>
  <c r="AX58" i="27" s="1"/>
  <c r="AX59" i="27" s="1"/>
  <c r="AJ18" i="38" l="1"/>
  <c r="AC8" i="30"/>
  <c r="AC14" i="30"/>
  <c r="AO35" i="29"/>
  <c r="AC34" i="32"/>
  <c r="AK34" i="32" s="1"/>
  <c r="AC16" i="30"/>
  <c r="AC18" i="30"/>
  <c r="T7" i="67"/>
  <c r="AC50" i="38"/>
  <c r="AC25" i="32"/>
  <c r="AK25" i="32" s="1"/>
  <c r="AC74" i="30"/>
  <c r="AC49" i="38"/>
  <c r="AX459" i="27"/>
  <c r="AC33" i="32"/>
  <c r="AK33" i="32" s="1"/>
  <c r="AC24" i="32"/>
  <c r="AK24" i="32" s="1"/>
  <c r="AC40" i="31"/>
  <c r="AC17" i="30"/>
  <c r="AC62" i="30"/>
  <c r="AC23" i="32"/>
  <c r="AK19" i="32"/>
  <c r="AC48" i="38"/>
  <c r="AC10" i="30"/>
  <c r="AX245" i="27"/>
  <c r="AC37" i="31"/>
  <c r="AC49" i="31" s="1"/>
  <c r="AC50" i="30"/>
  <c r="AX560" i="27"/>
  <c r="AX564" i="27"/>
  <c r="AX498" i="27"/>
  <c r="AX200" i="27"/>
  <c r="AX502" i="27" s="1"/>
  <c r="AX506" i="27"/>
  <c r="AX217" i="27"/>
  <c r="AX555" i="27"/>
  <c r="AX210" i="27"/>
  <c r="AC78" i="30" s="1"/>
  <c r="AC28" i="30" s="1"/>
  <c r="AX513" i="27"/>
  <c r="AX212" i="27"/>
  <c r="AX199" i="27"/>
  <c r="AX99" i="27"/>
  <c r="BA215" i="27" l="1"/>
  <c r="BA213" i="27"/>
  <c r="BA214" i="27"/>
  <c r="BA216" i="27"/>
  <c r="AO12" i="29"/>
  <c r="T8" i="67"/>
  <c r="T13" i="67" s="1"/>
  <c r="AK23" i="32"/>
  <c r="AC36" i="32"/>
  <c r="AC64" i="30"/>
  <c r="AC7" i="30"/>
  <c r="AC12" i="30"/>
  <c r="AX219" i="27"/>
  <c r="AG23" i="29"/>
  <c r="AG28" i="29" s="1"/>
  <c r="AX503" i="27"/>
  <c r="AX504" i="27"/>
  <c r="AX220" i="27"/>
  <c r="AX559" i="27" s="1"/>
  <c r="AX554" i="27"/>
  <c r="T14" i="67" l="1"/>
  <c r="AO41" i="29"/>
  <c r="AC6" i="30"/>
  <c r="AC20" i="30"/>
  <c r="AC19" i="30"/>
  <c r="AK36" i="32"/>
  <c r="AX311" i="27" l="1"/>
  <c r="AX302" i="27"/>
  <c r="AX301" i="27"/>
  <c r="AX314" i="27" l="1"/>
  <c r="AX163" i="27"/>
  <c r="AX158" i="27" l="1"/>
  <c r="AC46" i="31" l="1"/>
  <c r="AC51" i="31" s="1"/>
  <c r="AX152" i="27" l="1"/>
  <c r="AX150" i="27" l="1"/>
  <c r="AX149" i="27" s="1"/>
  <c r="AG26" i="29" l="1"/>
  <c r="AG30" i="29" s="1"/>
  <c r="AX308" i="27"/>
  <c r="AX72" i="27"/>
  <c r="AX221" i="27"/>
  <c r="AX563" i="27" l="1"/>
  <c r="AX246" i="27"/>
  <c r="AX530" i="27"/>
  <c r="AX529" i="27"/>
  <c r="AX494" i="27"/>
  <c r="AX70" i="27"/>
  <c r="AC33" i="31" s="1"/>
  <c r="AX46" i="27"/>
  <c r="AX441" i="27" l="1"/>
  <c r="AC53" i="31"/>
  <c r="AX497" i="27"/>
  <c r="AG20" i="29"/>
  <c r="AG22" i="29" s="1"/>
  <c r="AG29" i="29" s="1"/>
  <c r="AX63" i="27" l="1"/>
  <c r="AX74" i="27"/>
  <c r="AC42" i="38" l="1"/>
  <c r="AG18" i="29"/>
  <c r="AG31" i="29" s="1"/>
  <c r="AX35" i="27"/>
  <c r="AG44" i="29" l="1"/>
  <c r="AX61" i="27"/>
  <c r="AX496" i="27"/>
  <c r="AX331" i="27"/>
  <c r="AX495" i="27"/>
  <c r="AX556" i="27"/>
  <c r="AX493" i="27"/>
  <c r="AX436" i="27"/>
  <c r="AX499" i="27"/>
  <c r="AX315" i="27"/>
  <c r="AX130" i="27" l="1"/>
  <c r="AX156" i="27"/>
  <c r="AX155" i="27" s="1"/>
  <c r="AX536" i="27" l="1"/>
  <c r="AX535" i="27"/>
  <c r="AX135" i="27" l="1"/>
  <c r="AX471" i="27" s="1"/>
  <c r="AX538" i="27" l="1"/>
  <c r="AX525" i="27"/>
  <c r="AX524" i="27"/>
  <c r="AX539" i="27" l="1"/>
  <c r="AX106" i="27"/>
  <c r="AX141" i="27" l="1"/>
  <c r="AX431" i="27" s="1"/>
  <c r="AX527" i="27"/>
  <c r="AX526" i="27"/>
  <c r="AX143" i="27" l="1"/>
  <c r="AX176" i="27"/>
  <c r="T4" i="67"/>
  <c r="T12" i="67" s="1"/>
  <c r="AX175" i="27" l="1"/>
  <c r="T5" i="67" s="1"/>
  <c r="T16" i="67" s="1"/>
  <c r="D15" i="67" l="1"/>
  <c r="S15" i="67"/>
  <c r="R15" i="67"/>
  <c r="N15" i="67"/>
  <c r="J15" i="67"/>
  <c r="I15" i="67"/>
  <c r="H15" i="67"/>
  <c r="G15" i="67"/>
  <c r="F15" i="67"/>
  <c r="E15" i="67"/>
  <c r="C15" i="67"/>
  <c r="B15" i="67"/>
  <c r="V15" i="67" l="1"/>
  <c r="AR477" i="27"/>
  <c r="BB199" i="27" l="1"/>
  <c r="BB198" i="27"/>
  <c r="AC48" i="32"/>
  <c r="AC47" i="32"/>
  <c r="AC46" i="32"/>
  <c r="AC44" i="32"/>
  <c r="AC43" i="32"/>
  <c r="AB40" i="38" l="1"/>
  <c r="AB38" i="38"/>
  <c r="AC38" i="38" s="1"/>
  <c r="AB39" i="38" l="1"/>
  <c r="AC39" i="38" s="1"/>
  <c r="AW427" i="27" l="1"/>
  <c r="AC40" i="38" l="1"/>
  <c r="AC36" i="38" l="1"/>
  <c r="AC28" i="31"/>
  <c r="AC23" i="38" l="1"/>
  <c r="AC20" i="38" l="1"/>
  <c r="AC22" i="38" l="1"/>
  <c r="AC25" i="38" l="1"/>
  <c r="AC29" i="31" l="1"/>
  <c r="AC31" i="31" l="1"/>
  <c r="AC26" i="31" l="1"/>
  <c r="AC19" i="31" l="1"/>
  <c r="AC22" i="31"/>
  <c r="AC23" i="31" l="1"/>
  <c r="AC21" i="31" s="1"/>
  <c r="AC20" i="31"/>
  <c r="AC18" i="31" l="1"/>
  <c r="AC29" i="38" l="1"/>
  <c r="AC28" i="38"/>
  <c r="AC21" i="38" l="1"/>
  <c r="AC24" i="38" l="1"/>
  <c r="AC26" i="38"/>
  <c r="AC30" i="31" l="1"/>
  <c r="AC27" i="31" l="1"/>
  <c r="AC25" i="31" s="1"/>
  <c r="AF47" i="29" l="1"/>
  <c r="AF46" i="29"/>
  <c r="AF45" i="29"/>
  <c r="AB45" i="32"/>
  <c r="AC45" i="32" s="1"/>
  <c r="AB29" i="32"/>
  <c r="AB28" i="32"/>
  <c r="AW68" i="27" l="1"/>
  <c r="AB36" i="31" s="1"/>
  <c r="AB50" i="32"/>
  <c r="AC50" i="32" s="1"/>
  <c r="AB18" i="31"/>
  <c r="AB21" i="31"/>
  <c r="AB25" i="31"/>
  <c r="AB43" i="31"/>
  <c r="AB47" i="31"/>
  <c r="AB36" i="38"/>
  <c r="AB26" i="38"/>
  <c r="AB25" i="38"/>
  <c r="AB24" i="38"/>
  <c r="AB57" i="30"/>
  <c r="AB58" i="30"/>
  <c r="AB37" i="30"/>
  <c r="AB46" i="30" s="1"/>
  <c r="AB32" i="30"/>
  <c r="AB45" i="30" s="1"/>
  <c r="AW425" i="27"/>
  <c r="AW443" i="27"/>
  <c r="AW444" i="27"/>
  <c r="AW445" i="27"/>
  <c r="AW447" i="27"/>
  <c r="AW448" i="27"/>
  <c r="AW449" i="27"/>
  <c r="AW461" i="27"/>
  <c r="AF37" i="29" s="1"/>
  <c r="AG37" i="29" s="1"/>
  <c r="AW462" i="27"/>
  <c r="AF38" i="29" s="1"/>
  <c r="AG38" i="29" s="1"/>
  <c r="AW463" i="27"/>
  <c r="AF39" i="29" s="1"/>
  <c r="AG39" i="29" s="1"/>
  <c r="AW466" i="27"/>
  <c r="AW467" i="27"/>
  <c r="AW468" i="27"/>
  <c r="AW371" i="27"/>
  <c r="AW324" i="27"/>
  <c r="AW320" i="27"/>
  <c r="AW325" i="27" s="1"/>
  <c r="AB41" i="31"/>
  <c r="AC12" i="31" s="1"/>
  <c r="AB39" i="31"/>
  <c r="AC10" i="31" s="1"/>
  <c r="AB76" i="30"/>
  <c r="AW515" i="27"/>
  <c r="AB69" i="30"/>
  <c r="AB23" i="30" s="1"/>
  <c r="AW516" i="27"/>
  <c r="AW517" i="27"/>
  <c r="AW159" i="27"/>
  <c r="AW160" i="27"/>
  <c r="AW161" i="27"/>
  <c r="AW162" i="27"/>
  <c r="AW151" i="27"/>
  <c r="AW163" i="27"/>
  <c r="AW152" i="27"/>
  <c r="AW156" i="27"/>
  <c r="AW155" i="27" s="1"/>
  <c r="AW153" i="27"/>
  <c r="AW150" i="27"/>
  <c r="AW477" i="27"/>
  <c r="AW223" i="27"/>
  <c r="AW230" i="27" s="1"/>
  <c r="AW101" i="27"/>
  <c r="AW102" i="27"/>
  <c r="AW103" i="27"/>
  <c r="AB46" i="31"/>
  <c r="AB45" i="31"/>
  <c r="AB44" i="31"/>
  <c r="AW563" i="27"/>
  <c r="AB35" i="31"/>
  <c r="AW311" i="27" l="1"/>
  <c r="AW96" i="27"/>
  <c r="AW301" i="27"/>
  <c r="AW308" i="27" s="1"/>
  <c r="AW302" i="27"/>
  <c r="AW158" i="27"/>
  <c r="AB75" i="30"/>
  <c r="AB27" i="30" s="1"/>
  <c r="AB20" i="32"/>
  <c r="AC11" i="32" s="1"/>
  <c r="AB56" i="30"/>
  <c r="AB32" i="32"/>
  <c r="AB19" i="32"/>
  <c r="AC10" i="32" s="1"/>
  <c r="AB31" i="32"/>
  <c r="AW452" i="27"/>
  <c r="AW457" i="27" s="1"/>
  <c r="AF15" i="29" s="1"/>
  <c r="AG15" i="29" s="1"/>
  <c r="AW451" i="27"/>
  <c r="AW456" i="27" s="1"/>
  <c r="AF14" i="29" s="1"/>
  <c r="AG14" i="29" s="1"/>
  <c r="AB16" i="31"/>
  <c r="AC16" i="31" s="1"/>
  <c r="AB22" i="32"/>
  <c r="AC14" i="32" s="1"/>
  <c r="AW521" i="27"/>
  <c r="AW453" i="27"/>
  <c r="AW458" i="27" s="1"/>
  <c r="AF16" i="29" s="1"/>
  <c r="AG16" i="29" s="1"/>
  <c r="AW35" i="27"/>
  <c r="AW519" i="27"/>
  <c r="AW249" i="27"/>
  <c r="AW243" i="27"/>
  <c r="AW216" i="27"/>
  <c r="AW494" i="27"/>
  <c r="AW149" i="27"/>
  <c r="AW518" i="27"/>
  <c r="AW507" i="27"/>
  <c r="AB42" i="31"/>
  <c r="AW189" i="27"/>
  <c r="AB21" i="32"/>
  <c r="AC13" i="32" s="1"/>
  <c r="AW508" i="27"/>
  <c r="AW509" i="27"/>
  <c r="AW522" i="27"/>
  <c r="AW190" i="27"/>
  <c r="AW510" i="27"/>
  <c r="AB54" i="30"/>
  <c r="AB27" i="32"/>
  <c r="AF25" i="29"/>
  <c r="AW511" i="27"/>
  <c r="AB53" i="30"/>
  <c r="AB10" i="30" s="1"/>
  <c r="AB72" i="30"/>
  <c r="AB26" i="30" s="1"/>
  <c r="AB38" i="31"/>
  <c r="AC9" i="31" s="1"/>
  <c r="AB30" i="32"/>
  <c r="AF24" i="29"/>
  <c r="AW512" i="27"/>
  <c r="AB52" i="30"/>
  <c r="AB71" i="30"/>
  <c r="AB25" i="30" s="1"/>
  <c r="AB52" i="38"/>
  <c r="AW312" i="27"/>
  <c r="AB51" i="30"/>
  <c r="AB70" i="30"/>
  <c r="AB24" i="30" s="1"/>
  <c r="AB47" i="38"/>
  <c r="AC14" i="38" s="1"/>
  <c r="AF20" i="29"/>
  <c r="AF22" i="29" s="1"/>
  <c r="AW74" i="27"/>
  <c r="AW514" i="27"/>
  <c r="AB61" i="30"/>
  <c r="AB46" i="38"/>
  <c r="AC13" i="38" s="1"/>
  <c r="AF26" i="29"/>
  <c r="AW72" i="27"/>
  <c r="AB60" i="30"/>
  <c r="AB45" i="38"/>
  <c r="AC11" i="38" s="1"/>
  <c r="AB59" i="30"/>
  <c r="AB44" i="38"/>
  <c r="AC10" i="38" s="1"/>
  <c r="AW109" i="27"/>
  <c r="AW464" i="27" s="1"/>
  <c r="AW215" i="27"/>
  <c r="AB51" i="31"/>
  <c r="AC14" i="31" s="1"/>
  <c r="AB51" i="32"/>
  <c r="AC51" i="32" s="1"/>
  <c r="AW530" i="27"/>
  <c r="AW529" i="27"/>
  <c r="AW310" i="27"/>
  <c r="AW303" i="27"/>
  <c r="AW248" i="27"/>
  <c r="AW238" i="27"/>
  <c r="AW207" i="27"/>
  <c r="AW202" i="27"/>
  <c r="AW214" i="27"/>
  <c r="AW198" i="27"/>
  <c r="AW188" i="27"/>
  <c r="AW506" i="27" s="1"/>
  <c r="AW213" i="27"/>
  <c r="AW135" i="27"/>
  <c r="AW87" i="27"/>
  <c r="AB74" i="30" l="1"/>
  <c r="AC15" i="38"/>
  <c r="AC34" i="38"/>
  <c r="AB50" i="31"/>
  <c r="AC11" i="31" s="1"/>
  <c r="AC13" i="31"/>
  <c r="AB34" i="32"/>
  <c r="AC15" i="32" s="1"/>
  <c r="AB15" i="30"/>
  <c r="AB24" i="32"/>
  <c r="AC12" i="32" s="1"/>
  <c r="AB25" i="32"/>
  <c r="AW459" i="27"/>
  <c r="AF12" i="29"/>
  <c r="AG12" i="29" s="1"/>
  <c r="AW217" i="27"/>
  <c r="AB40" i="31"/>
  <c r="AW99" i="27"/>
  <c r="AW178" i="27"/>
  <c r="AW469" i="27" s="1"/>
  <c r="AB50" i="38"/>
  <c r="AC9" i="38" s="1"/>
  <c r="AB33" i="32"/>
  <c r="AB23" i="32"/>
  <c r="AF30" i="29"/>
  <c r="AG10" i="29" s="1"/>
  <c r="AB18" i="30"/>
  <c r="AB49" i="38"/>
  <c r="AC12" i="38" s="1"/>
  <c r="AB50" i="30"/>
  <c r="AB8" i="30"/>
  <c r="AB11" i="30"/>
  <c r="AB16" i="30"/>
  <c r="AB9" i="30"/>
  <c r="AB14" i="30"/>
  <c r="AW210" i="27"/>
  <c r="AB68" i="30"/>
  <c r="AB22" i="30" s="1"/>
  <c r="AW513" i="27"/>
  <c r="AB13" i="30"/>
  <c r="AW245" i="27"/>
  <c r="AW246" i="27" s="1"/>
  <c r="AB37" i="31"/>
  <c r="AB49" i="31" s="1"/>
  <c r="AC8" i="31" s="1"/>
  <c r="AB18" i="38"/>
  <c r="AC18" i="38" s="1"/>
  <c r="AF35" i="29"/>
  <c r="AW525" i="27"/>
  <c r="AF29" i="29"/>
  <c r="AG9" i="29" s="1"/>
  <c r="AB53" i="38"/>
  <c r="AC16" i="38" s="1"/>
  <c r="AW555" i="27"/>
  <c r="AW524" i="27"/>
  <c r="AB17" i="30"/>
  <c r="AB48" i="38"/>
  <c r="AB62" i="30"/>
  <c r="AW314" i="27"/>
  <c r="AW212" i="27"/>
  <c r="AW199" i="27"/>
  <c r="AW200" i="27"/>
  <c r="AW538" i="27" l="1"/>
  <c r="AW106" i="27"/>
  <c r="AF41" i="29"/>
  <c r="AG35" i="29"/>
  <c r="AG41" i="29" s="1"/>
  <c r="AC8" i="38"/>
  <c r="AC33" i="38"/>
  <c r="AW130" i="27"/>
  <c r="AW536" i="27" s="1"/>
  <c r="AB64" i="30"/>
  <c r="AB20" i="30" s="1"/>
  <c r="AB36" i="32"/>
  <c r="AC6" i="32" s="1"/>
  <c r="AW219" i="27"/>
  <c r="AF23" i="29"/>
  <c r="AF28" i="29" s="1"/>
  <c r="AG8" i="29" s="1"/>
  <c r="AW504" i="27"/>
  <c r="AW503" i="27"/>
  <c r="AB78" i="30"/>
  <c r="AB28" i="30" s="1"/>
  <c r="AB7" i="30"/>
  <c r="AB12" i="30"/>
  <c r="AW220" i="27"/>
  <c r="AW63" i="27" s="1"/>
  <c r="AW502" i="27"/>
  <c r="AW554" i="27"/>
  <c r="AW539" i="27" l="1"/>
  <c r="AW141" i="27"/>
  <c r="AW535" i="27"/>
  <c r="AW526" i="27"/>
  <c r="AW143" i="27"/>
  <c r="AB19" i="30"/>
  <c r="AB6" i="30"/>
  <c r="AW221" i="27"/>
  <c r="AW559" i="27"/>
  <c r="AW176" i="27" l="1"/>
  <c r="AW431" i="27"/>
  <c r="S4" i="67"/>
  <c r="S12" i="67" s="1"/>
  <c r="AW175" i="27"/>
  <c r="S5" i="67" s="1"/>
  <c r="S16" i="67" s="1"/>
  <c r="AW70" i="27"/>
  <c r="AW56" i="27"/>
  <c r="AW58" i="27" s="1"/>
  <c r="AW46" i="27"/>
  <c r="S7" i="67" l="1"/>
  <c r="AW59" i="27"/>
  <c r="AW441" i="27"/>
  <c r="AW497" i="27"/>
  <c r="AF18" i="29"/>
  <c r="AB42" i="38"/>
  <c r="AF44" i="29"/>
  <c r="AG33" i="29" s="1"/>
  <c r="AW564" i="27"/>
  <c r="AW560" i="27"/>
  <c r="AW498" i="27"/>
  <c r="AB33" i="31"/>
  <c r="AC6" i="31" s="1"/>
  <c r="AW493" i="27"/>
  <c r="AW331" i="27"/>
  <c r="AW556" i="27"/>
  <c r="AW499" i="27"/>
  <c r="AW436" i="27"/>
  <c r="AW496" i="27"/>
  <c r="AW495" i="27"/>
  <c r="AW315" i="27"/>
  <c r="AW61" i="27"/>
  <c r="S8" i="67" l="1"/>
  <c r="AC31" i="38"/>
  <c r="AC6" i="38"/>
  <c r="AF31" i="29"/>
  <c r="AG6" i="29"/>
  <c r="S13" i="67"/>
  <c r="S14" i="67"/>
  <c r="AB53" i="31"/>
  <c r="C44" i="31"/>
  <c r="D44" i="31"/>
  <c r="E44" i="31"/>
  <c r="F44" i="31"/>
  <c r="G44" i="31"/>
  <c r="H44" i="31"/>
  <c r="I44" i="31"/>
  <c r="J44" i="31"/>
  <c r="K44" i="31"/>
  <c r="C45" i="31"/>
  <c r="D45" i="31"/>
  <c r="E45" i="31"/>
  <c r="F45" i="31"/>
  <c r="G45" i="31"/>
  <c r="H45" i="31"/>
  <c r="I45" i="31"/>
  <c r="J45" i="31"/>
  <c r="K45" i="31"/>
  <c r="C46" i="31"/>
  <c r="D46" i="31"/>
  <c r="E46" i="31"/>
  <c r="F46" i="31"/>
  <c r="G46" i="31"/>
  <c r="H46" i="31"/>
  <c r="I46" i="31"/>
  <c r="J46" i="31"/>
  <c r="K46" i="31"/>
  <c r="C47" i="31"/>
  <c r="D47" i="31"/>
  <c r="E47" i="31"/>
  <c r="F47" i="31"/>
  <c r="G47" i="31"/>
  <c r="H47" i="31"/>
  <c r="I47" i="31"/>
  <c r="J47" i="31"/>
  <c r="K47" i="31"/>
  <c r="C41" i="31"/>
  <c r="D41" i="31"/>
  <c r="E41" i="31"/>
  <c r="F41" i="31"/>
  <c r="G41" i="31"/>
  <c r="H41" i="31"/>
  <c r="I41" i="31"/>
  <c r="J41" i="31"/>
  <c r="K41" i="31"/>
  <c r="C42" i="31"/>
  <c r="D42" i="31"/>
  <c r="E42" i="31"/>
  <c r="F42" i="31"/>
  <c r="G42" i="31"/>
  <c r="H42" i="31"/>
  <c r="I42" i="31"/>
  <c r="J42" i="31"/>
  <c r="K42" i="31"/>
  <c r="C43" i="31"/>
  <c r="D43" i="31"/>
  <c r="E43" i="31"/>
  <c r="F43" i="31"/>
  <c r="G43" i="31"/>
  <c r="H43" i="31"/>
  <c r="I43" i="31"/>
  <c r="J43" i="31"/>
  <c r="K43" i="31"/>
  <c r="C35" i="31"/>
  <c r="D35" i="31"/>
  <c r="E35" i="31"/>
  <c r="F35" i="31"/>
  <c r="G35" i="31"/>
  <c r="H35" i="31"/>
  <c r="I35" i="31"/>
  <c r="J35" i="31"/>
  <c r="K35" i="31"/>
  <c r="R427" i="27"/>
  <c r="D135" i="27" l="1"/>
  <c r="D99" i="27"/>
  <c r="D130" i="27" s="1"/>
  <c r="F166" i="27"/>
  <c r="D150" i="27"/>
  <c r="D151" i="27"/>
  <c r="D152" i="27"/>
  <c r="D153" i="27"/>
  <c r="D156" i="27"/>
  <c r="D155" i="27" s="1"/>
  <c r="D159" i="27"/>
  <c r="D160" i="27"/>
  <c r="D161" i="27"/>
  <c r="D162" i="27"/>
  <c r="D163" i="27"/>
  <c r="D166" i="27"/>
  <c r="D106" i="27" l="1"/>
  <c r="D158" i="27"/>
  <c r="D141" i="27"/>
  <c r="D143" i="27" s="1"/>
  <c r="D149" i="27"/>
  <c r="D170" i="27" s="1"/>
  <c r="D175" i="27" l="1"/>
  <c r="D176" i="27"/>
  <c r="AX570" i="27" l="1"/>
  <c r="AX568" i="27"/>
  <c r="AW568" i="27"/>
  <c r="AW570" i="27"/>
  <c r="AA37" i="30" l="1"/>
  <c r="AA32" i="30"/>
  <c r="AA45" i="30" s="1"/>
  <c r="AA57" i="30"/>
  <c r="AA58" i="30"/>
  <c r="AY45" i="32"/>
  <c r="AY41" i="32" s="1"/>
  <c r="AA28" i="32"/>
  <c r="AY28" i="32" s="1"/>
  <c r="AA29" i="32"/>
  <c r="AY29" i="32" s="1"/>
  <c r="AH18" i="31"/>
  <c r="AA43" i="31"/>
  <c r="AA47" i="31"/>
  <c r="AV320" i="27"/>
  <c r="AV325" i="27" s="1"/>
  <c r="AV324" i="27"/>
  <c r="AV311" i="27" l="1"/>
  <c r="AV301" i="27"/>
  <c r="AV302" i="27"/>
  <c r="AV310" i="27"/>
  <c r="AV303" i="27"/>
  <c r="AV223" i="27"/>
  <c r="AV230" i="27" s="1"/>
  <c r="AA56" i="30" l="1"/>
  <c r="AA27" i="32"/>
  <c r="AY27" i="32" l="1"/>
  <c r="AV161" i="27"/>
  <c r="AV151" i="27"/>
  <c r="AV68" i="27"/>
  <c r="AA36" i="31" s="1"/>
  <c r="AV162" i="27" l="1"/>
  <c r="AV159" i="27" l="1"/>
  <c r="AU168" i="27" l="1"/>
  <c r="C38" i="31" l="1"/>
  <c r="D38" i="31"/>
  <c r="E38" i="31"/>
  <c r="F38" i="31"/>
  <c r="G38" i="31"/>
  <c r="H38" i="31"/>
  <c r="I38" i="31"/>
  <c r="J38" i="31"/>
  <c r="C39" i="31"/>
  <c r="D39" i="31"/>
  <c r="E39" i="31"/>
  <c r="F39" i="31"/>
  <c r="G39" i="31"/>
  <c r="H39" i="31"/>
  <c r="I39" i="31"/>
  <c r="J39" i="31"/>
  <c r="K38" i="31"/>
  <c r="L38" i="31"/>
  <c r="M38" i="31"/>
  <c r="N38" i="31"/>
  <c r="O38" i="31"/>
  <c r="P38" i="31"/>
  <c r="Q38" i="31"/>
  <c r="R38" i="31"/>
  <c r="K39" i="31"/>
  <c r="L39" i="31"/>
  <c r="M39" i="31"/>
  <c r="N39" i="31"/>
  <c r="O39" i="31"/>
  <c r="P39" i="31"/>
  <c r="Q39" i="31"/>
  <c r="R39" i="31"/>
  <c r="S38" i="31"/>
  <c r="S39" i="31"/>
  <c r="L10" i="31" l="1"/>
  <c r="H9" i="31"/>
  <c r="AH10" i="31"/>
  <c r="L9" i="31"/>
  <c r="AH9" i="31"/>
  <c r="H10" i="31"/>
  <c r="P10" i="31"/>
  <c r="P9" i="31"/>
  <c r="AA47" i="32" l="1"/>
  <c r="AA46" i="32"/>
  <c r="AA44" i="32"/>
  <c r="AA43" i="32"/>
  <c r="AR50" i="32" l="1"/>
  <c r="AA50" i="32" s="1"/>
  <c r="Z37" i="30" l="1"/>
  <c r="Z32" i="30"/>
  <c r="Z45" i="30" s="1"/>
  <c r="Z57" i="30"/>
  <c r="Z58" i="30"/>
  <c r="AP4" i="38" l="1"/>
  <c r="Z47" i="31"/>
  <c r="AR4" i="31"/>
  <c r="AR51" i="32"/>
  <c r="AR45" i="32"/>
  <c r="AA45" i="32" s="1"/>
  <c r="Z28" i="32"/>
  <c r="AR28" i="32" s="1"/>
  <c r="Z29" i="32"/>
  <c r="AR29" i="32" s="1"/>
  <c r="AR4" i="32"/>
  <c r="AV4" i="29"/>
  <c r="AU311" i="27" l="1"/>
  <c r="AU223" i="27"/>
  <c r="AU230" i="27" s="1"/>
  <c r="AU162" i="27"/>
  <c r="AU151" i="27"/>
  <c r="AU161" i="27"/>
  <c r="AU302" i="27" l="1"/>
  <c r="AU301" i="27"/>
  <c r="AU68" i="27"/>
  <c r="Z36" i="31" s="1"/>
  <c r="AU320" i="27"/>
  <c r="AU325" i="27" s="1"/>
  <c r="AU324" i="27"/>
  <c r="AU303" i="27"/>
  <c r="AU310" i="27"/>
  <c r="Z56" i="30" l="1"/>
  <c r="Z27" i="32"/>
  <c r="AR27" i="32" l="1"/>
  <c r="AY488" i="27" l="1"/>
  <c r="Y488" i="27"/>
  <c r="Z488" i="27"/>
  <c r="AA488" i="27"/>
  <c r="AB488" i="27"/>
  <c r="AC488" i="27"/>
  <c r="AD488" i="27"/>
  <c r="AE488" i="27"/>
  <c r="AF488" i="27"/>
  <c r="AG488" i="27"/>
  <c r="AI488" i="27"/>
  <c r="AJ488" i="27"/>
  <c r="AY487" i="27" l="1"/>
  <c r="AY484" i="27"/>
  <c r="AY486" i="27"/>
  <c r="AY485" i="27"/>
  <c r="AY481" i="27"/>
  <c r="AI40" i="38" l="1"/>
  <c r="AI39" i="38"/>
  <c r="AI38" i="38"/>
  <c r="AT429" i="27"/>
  <c r="AT428" i="27"/>
  <c r="Z50" i="32"/>
  <c r="Z47" i="32"/>
  <c r="Z46" i="32"/>
  <c r="Z44" i="32"/>
  <c r="Z43" i="32"/>
  <c r="AT466" i="27" l="1"/>
  <c r="AT467" i="27"/>
  <c r="AT468" i="27"/>
  <c r="AI36" i="38"/>
  <c r="AJ45" i="32" l="1"/>
  <c r="Z45" i="32" s="1"/>
  <c r="Y28" i="32" l="1"/>
  <c r="AJ28" i="32" s="1"/>
  <c r="Y29" i="32"/>
  <c r="AJ29" i="32" s="1"/>
  <c r="Y37" i="30" l="1"/>
  <c r="Y46" i="30" s="1"/>
  <c r="Y32" i="30"/>
  <c r="Y45" i="30" s="1"/>
  <c r="Y57" i="30"/>
  <c r="Y58" i="30"/>
  <c r="AG24" i="38"/>
  <c r="L24" i="38"/>
  <c r="P24" i="38"/>
  <c r="P26" i="38"/>
  <c r="P25" i="38"/>
  <c r="L26" i="38"/>
  <c r="H26" i="38"/>
  <c r="H25" i="38"/>
  <c r="L25" i="38"/>
  <c r="X26" i="38" l="1"/>
  <c r="X25" i="38"/>
  <c r="X24" i="38"/>
  <c r="AC45" i="29"/>
  <c r="AC46" i="29"/>
  <c r="AC47" i="29"/>
  <c r="AY480" i="27"/>
  <c r="AY479" i="27"/>
  <c r="AY478" i="27"/>
  <c r="Y47" i="31"/>
  <c r="AT162" i="27"/>
  <c r="AT161" i="27"/>
  <c r="AT223" i="27"/>
  <c r="Y76" i="30"/>
  <c r="AT425" i="27"/>
  <c r="AT443" i="27"/>
  <c r="AT444" i="27"/>
  <c r="AT445" i="27"/>
  <c r="AT447" i="27"/>
  <c r="AT448" i="27"/>
  <c r="AT449" i="27"/>
  <c r="AT461" i="27"/>
  <c r="AN37" i="29" s="1"/>
  <c r="AT462" i="27"/>
  <c r="AN38" i="29" s="1"/>
  <c r="AT463" i="27"/>
  <c r="AN39" i="29" s="1"/>
  <c r="Y43" i="31"/>
  <c r="Y39" i="31"/>
  <c r="Y38" i="31"/>
  <c r="AT163" i="27"/>
  <c r="AT152" i="27"/>
  <c r="AT156" i="27"/>
  <c r="AT155" i="27" s="1"/>
  <c r="AT113" i="27"/>
  <c r="AT151" i="27" s="1"/>
  <c r="AT153" i="27"/>
  <c r="AT101" i="27"/>
  <c r="AT102" i="27"/>
  <c r="AT103" i="27"/>
  <c r="Y46" i="31"/>
  <c r="Y45" i="31"/>
  <c r="Y44" i="31"/>
  <c r="AT563" i="27"/>
  <c r="Y35" i="31"/>
  <c r="AT302" i="27" l="1"/>
  <c r="AT301" i="27"/>
  <c r="AT311" i="27"/>
  <c r="AT74" i="27"/>
  <c r="Y30" i="32"/>
  <c r="AJ30" i="32" s="1"/>
  <c r="AT150" i="27"/>
  <c r="AT312" i="27"/>
  <c r="Y41" i="31"/>
  <c r="Y42" i="31"/>
  <c r="AT320" i="27"/>
  <c r="AT325" i="27" s="1"/>
  <c r="AT249" i="27"/>
  <c r="AT451" i="27"/>
  <c r="AT456" i="27" s="1"/>
  <c r="AN14" i="29" s="1"/>
  <c r="AC26" i="29"/>
  <c r="AT494" i="27"/>
  <c r="AC25" i="29"/>
  <c r="Y27" i="32"/>
  <c r="AJ18" i="31"/>
  <c r="AI24" i="38"/>
  <c r="AJ21" i="31"/>
  <c r="AI25" i="38"/>
  <c r="Y56" i="30"/>
  <c r="AC20" i="29"/>
  <c r="AC22" i="29" s="1"/>
  <c r="Y59" i="30"/>
  <c r="AI26" i="38"/>
  <c r="AJ25" i="31"/>
  <c r="AT135" i="27"/>
  <c r="AT530" i="27"/>
  <c r="AT452" i="27"/>
  <c r="AT457" i="27" s="1"/>
  <c r="AT72" i="27"/>
  <c r="AT453" i="27"/>
  <c r="AT458" i="27" s="1"/>
  <c r="AN16" i="29" s="1"/>
  <c r="AT529" i="27"/>
  <c r="AT68" i="27"/>
  <c r="Y36" i="31" s="1"/>
  <c r="AT70" i="27"/>
  <c r="Y33" i="31" s="1"/>
  <c r="AT230" i="27"/>
  <c r="AT324" i="27"/>
  <c r="AT310" i="27"/>
  <c r="AT303" i="27"/>
  <c r="AT308" i="27"/>
  <c r="AT243" i="27"/>
  <c r="AT248" i="27"/>
  <c r="AT238" i="27"/>
  <c r="AT109" i="27"/>
  <c r="AT96" i="27"/>
  <c r="AT87" i="27"/>
  <c r="AT56" i="27"/>
  <c r="AT58" i="27" s="1"/>
  <c r="P7" i="67" s="1"/>
  <c r="AT46" i="27"/>
  <c r="AT35" i="27"/>
  <c r="AT464" i="27" l="1"/>
  <c r="AT471" i="27"/>
  <c r="AT568" i="27"/>
  <c r="AT59" i="27"/>
  <c r="P8" i="67" s="1"/>
  <c r="AT560" i="27"/>
  <c r="AI18" i="38"/>
  <c r="AT178" i="27"/>
  <c r="Y50" i="31"/>
  <c r="AC30" i="29"/>
  <c r="AJ16" i="31"/>
  <c r="AN35" i="29"/>
  <c r="AT436" i="27"/>
  <c r="AT556" i="27"/>
  <c r="AT564" i="27"/>
  <c r="Y40" i="31"/>
  <c r="Y37" i="31"/>
  <c r="AT497" i="27"/>
  <c r="AT441" i="27"/>
  <c r="AT459" i="27"/>
  <c r="AN15" i="29"/>
  <c r="AJ27" i="32"/>
  <c r="Y51" i="31"/>
  <c r="AT331" i="27"/>
  <c r="AC44" i="29"/>
  <c r="AT99" i="27"/>
  <c r="AT314" i="27"/>
  <c r="AT525" i="27"/>
  <c r="AT524" i="27"/>
  <c r="AT496" i="27"/>
  <c r="AT495" i="27"/>
  <c r="AT493" i="27"/>
  <c r="AT245" i="27"/>
  <c r="AT61" i="27"/>
  <c r="P13" i="67" l="1"/>
  <c r="P14" i="67"/>
  <c r="AT469" i="27"/>
  <c r="AT538" i="27"/>
  <c r="Y49" i="31"/>
  <c r="AT246" i="27"/>
  <c r="AT315" i="27"/>
  <c r="AT106" i="27"/>
  <c r="AN12" i="29"/>
  <c r="AN41" i="29" s="1"/>
  <c r="Y53" i="31" l="1"/>
  <c r="Y53" i="30" l="1"/>
  <c r="Y15" i="30" s="1"/>
  <c r="Y21" i="32"/>
  <c r="Y52" i="30"/>
  <c r="Y9" i="30" s="1"/>
  <c r="Y20" i="32"/>
  <c r="Y54" i="30"/>
  <c r="Y16" i="30" s="1"/>
  <c r="Y22" i="32"/>
  <c r="Y14" i="30"/>
  <c r="AT508" i="27"/>
  <c r="Y45" i="38"/>
  <c r="AT512" i="27"/>
  <c r="Y46" i="38"/>
  <c r="AT189" i="27"/>
  <c r="AT509" i="27"/>
  <c r="AT510" i="27"/>
  <c r="Y47" i="38"/>
  <c r="Y11" i="30" l="1"/>
  <c r="Y10" i="30"/>
  <c r="AJ20" i="32"/>
  <c r="AJ22" i="32"/>
  <c r="AJ21" i="32"/>
  <c r="Y24" i="32"/>
  <c r="AJ24" i="32" s="1"/>
  <c r="Y60" i="30"/>
  <c r="Y31" i="32"/>
  <c r="Y49" i="38"/>
  <c r="AJ31" i="32" l="1"/>
  <c r="Y51" i="30"/>
  <c r="Y50" i="30" s="1"/>
  <c r="Y19" i="32"/>
  <c r="Y8" i="30"/>
  <c r="Y13" i="30"/>
  <c r="Y44" i="38"/>
  <c r="AT190" i="27"/>
  <c r="AT511" i="27"/>
  <c r="AT188" i="27"/>
  <c r="AT507" i="27"/>
  <c r="AJ19" i="32" l="1"/>
  <c r="Y25" i="32"/>
  <c r="AJ25" i="32" s="1"/>
  <c r="Y23" i="32"/>
  <c r="Y61" i="30"/>
  <c r="Y62" i="30" s="1"/>
  <c r="Y64" i="30" s="1"/>
  <c r="Y32" i="32"/>
  <c r="Y18" i="30"/>
  <c r="Y17" i="30"/>
  <c r="Y12" i="30"/>
  <c r="Y7" i="30"/>
  <c r="Y6" i="30" s="1"/>
  <c r="Y52" i="38"/>
  <c r="AT198" i="27"/>
  <c r="AT521" i="27"/>
  <c r="AT200" i="27"/>
  <c r="AT506" i="27"/>
  <c r="Y50" i="38"/>
  <c r="Y48" i="38"/>
  <c r="AT502" i="27" l="1"/>
  <c r="AT199" i="27"/>
  <c r="AT555" i="27"/>
  <c r="AJ32" i="32"/>
  <c r="Y34" i="32"/>
  <c r="Y33" i="32"/>
  <c r="AJ33" i="32" s="1"/>
  <c r="AJ23" i="32"/>
  <c r="Y20" i="30"/>
  <c r="Y19" i="30"/>
  <c r="Y53" i="38"/>
  <c r="Y36" i="32" l="1"/>
  <c r="AT554" i="27"/>
  <c r="AJ34" i="32"/>
  <c r="AJ36" i="32" l="1"/>
  <c r="AO467" i="27" l="1"/>
  <c r="AO429" i="27"/>
  <c r="AO428" i="27"/>
  <c r="AO430" i="27"/>
  <c r="AO466" i="27"/>
  <c r="AO468" i="27"/>
  <c r="Y24" i="31" l="1"/>
  <c r="Y23" i="31"/>
  <c r="Y22" i="31"/>
  <c r="Y20" i="31"/>
  <c r="Y19" i="31"/>
  <c r="Y18" i="31" l="1"/>
  <c r="Y21" i="31"/>
  <c r="AS162" i="27"/>
  <c r="X38" i="38"/>
  <c r="AS429" i="27"/>
  <c r="AS430" i="27" l="1"/>
  <c r="AS428" i="27"/>
  <c r="AS466" i="27"/>
  <c r="X39" i="38"/>
  <c r="Y39" i="38" s="1"/>
  <c r="X40" i="38"/>
  <c r="Y40" i="38" s="1"/>
  <c r="Y38" i="38"/>
  <c r="AS311" i="27"/>
  <c r="AS468" i="27"/>
  <c r="AS467" i="27"/>
  <c r="AT165" i="27"/>
  <c r="X36" i="38" l="1"/>
  <c r="Y36" i="38" s="1"/>
  <c r="AU165" i="27"/>
  <c r="AV165" i="27" s="1"/>
  <c r="AS427" i="27"/>
  <c r="AR41" i="32" l="1"/>
  <c r="AJ41" i="32"/>
  <c r="Z42" i="32"/>
  <c r="Z41" i="32" l="1"/>
  <c r="AA41" i="32"/>
  <c r="AR40" i="32"/>
  <c r="AA42" i="32"/>
  <c r="AS443" i="27"/>
  <c r="AS444" i="27"/>
  <c r="AS445" i="27"/>
  <c r="AS447" i="27"/>
  <c r="AS448" i="27"/>
  <c r="AS449" i="27"/>
  <c r="AS461" i="27"/>
  <c r="AS462" i="27"/>
  <c r="AS463" i="27"/>
  <c r="AS371" i="27"/>
  <c r="AS425" i="27"/>
  <c r="AS477" i="27"/>
  <c r="AB41" i="32" l="1"/>
  <c r="AC41" i="32" s="1"/>
  <c r="AC8" i="32" s="1"/>
  <c r="AC42" i="32"/>
  <c r="AC9" i="32" s="1"/>
  <c r="AS452" i="27"/>
  <c r="AS457" i="27" s="1"/>
  <c r="AS451" i="27"/>
  <c r="AS456" i="27" s="1"/>
  <c r="AW527" i="27"/>
  <c r="AS223" i="27"/>
  <c r="AS453" i="27"/>
  <c r="AS458" i="27" l="1"/>
  <c r="AS459" i="27" s="1"/>
  <c r="Y47" i="32"/>
  <c r="Y46" i="32"/>
  <c r="Y44" i="32"/>
  <c r="X57" i="30"/>
  <c r="X58" i="30"/>
  <c r="Y29" i="38"/>
  <c r="Y28" i="38"/>
  <c r="Y23" i="38"/>
  <c r="Y22" i="38"/>
  <c r="Y21" i="38"/>
  <c r="X47" i="31"/>
  <c r="Y31" i="31"/>
  <c r="Y30" i="31"/>
  <c r="Y29" i="31"/>
  <c r="Y27" i="31"/>
  <c r="Y26" i="31"/>
  <c r="X28" i="32"/>
  <c r="X29" i="32"/>
  <c r="AB45" i="29"/>
  <c r="AB46" i="29"/>
  <c r="AB47" i="29"/>
  <c r="AB39" i="29"/>
  <c r="AC39" i="29" s="1"/>
  <c r="AB38" i="29"/>
  <c r="AC38" i="29" s="1"/>
  <c r="AB37" i="29"/>
  <c r="AC37" i="29" s="1"/>
  <c r="AB16" i="29"/>
  <c r="AC16" i="29" s="1"/>
  <c r="AB15" i="29"/>
  <c r="AC15" i="29" s="1"/>
  <c r="AB14" i="29"/>
  <c r="AC14" i="29" s="1"/>
  <c r="AS151" i="27"/>
  <c r="AS160" i="27"/>
  <c r="AS161" i="27"/>
  <c r="AS163" i="27"/>
  <c r="AS303" i="27"/>
  <c r="AS310" i="27"/>
  <c r="X43" i="31"/>
  <c r="X38" i="31"/>
  <c r="Y9" i="31" s="1"/>
  <c r="AS230" i="27"/>
  <c r="X76" i="30"/>
  <c r="X61" i="30"/>
  <c r="AS507" i="27"/>
  <c r="AS509" i="27"/>
  <c r="AS152" i="27"/>
  <c r="AS156" i="27"/>
  <c r="AS155" i="27" s="1"/>
  <c r="AS153" i="27"/>
  <c r="AS150" i="27"/>
  <c r="AS109" i="27"/>
  <c r="AS464" i="27" s="1"/>
  <c r="AS103" i="27"/>
  <c r="AS102" i="27"/>
  <c r="AS101" i="27"/>
  <c r="X46" i="31"/>
  <c r="X45" i="31"/>
  <c r="AS563" i="27"/>
  <c r="Y25" i="38" l="1"/>
  <c r="AS68" i="27"/>
  <c r="X36" i="31" s="1"/>
  <c r="AS302" i="27"/>
  <c r="AS301" i="27"/>
  <c r="Y42" i="32"/>
  <c r="X39" i="31"/>
  <c r="Y10" i="31" s="1"/>
  <c r="AS511" i="27"/>
  <c r="Y25" i="31"/>
  <c r="Y43" i="32"/>
  <c r="AS135" i="27"/>
  <c r="AS568" i="27" s="1"/>
  <c r="AS521" i="27"/>
  <c r="Y20" i="38"/>
  <c r="AC12" i="29"/>
  <c r="AS324" i="27"/>
  <c r="X44" i="31"/>
  <c r="AB35" i="29"/>
  <c r="AC35" i="29" s="1"/>
  <c r="X42" i="31"/>
  <c r="Y13" i="31" s="1"/>
  <c r="AS320" i="27"/>
  <c r="AS325" i="27" s="1"/>
  <c r="X32" i="30"/>
  <c r="X45" i="30" s="1"/>
  <c r="AS249" i="27"/>
  <c r="AS248" i="27"/>
  <c r="AS74" i="27"/>
  <c r="AB12" i="29"/>
  <c r="X47" i="38"/>
  <c r="Y14" i="38" s="1"/>
  <c r="X46" i="38"/>
  <c r="Y13" i="38" s="1"/>
  <c r="X21" i="31"/>
  <c r="AS508" i="27"/>
  <c r="AS198" i="27"/>
  <c r="AS555" i="27" s="1"/>
  <c r="AS87" i="27"/>
  <c r="AS178" i="27" s="1"/>
  <c r="AS469" i="27" s="1"/>
  <c r="AS70" i="27"/>
  <c r="X33" i="31" s="1"/>
  <c r="AS159" i="27"/>
  <c r="AS190" i="27"/>
  <c r="X37" i="30"/>
  <c r="X46" i="30" s="1"/>
  <c r="X60" i="30"/>
  <c r="AS56" i="27"/>
  <c r="AS58" i="27" s="1"/>
  <c r="X18" i="31"/>
  <c r="AB26" i="29"/>
  <c r="X45" i="38"/>
  <c r="Y11" i="38" s="1"/>
  <c r="X25" i="31"/>
  <c r="AS96" i="27"/>
  <c r="X19" i="32"/>
  <c r="AS149" i="27"/>
  <c r="AS46" i="27"/>
  <c r="AS497" i="27" s="1"/>
  <c r="AS243" i="27"/>
  <c r="X44" i="38"/>
  <c r="X59" i="30"/>
  <c r="AB20" i="29"/>
  <c r="AB22" i="29" s="1"/>
  <c r="X32" i="32"/>
  <c r="X41" i="31"/>
  <c r="Y12" i="31" s="1"/>
  <c r="AS512" i="27"/>
  <c r="X31" i="32"/>
  <c r="X56" i="30"/>
  <c r="X30" i="32"/>
  <c r="X54" i="30"/>
  <c r="X11" i="30" s="1"/>
  <c r="X35" i="31"/>
  <c r="X53" i="30"/>
  <c r="AS308" i="27"/>
  <c r="AS72" i="27"/>
  <c r="X52" i="30"/>
  <c r="X45" i="32"/>
  <c r="X41" i="32" s="1"/>
  <c r="X40" i="32" s="1"/>
  <c r="AS312" i="27"/>
  <c r="X27" i="32"/>
  <c r="X52" i="38"/>
  <c r="Y15" i="38" s="1"/>
  <c r="X51" i="30"/>
  <c r="X22" i="32"/>
  <c r="X50" i="32"/>
  <c r="AS510" i="27"/>
  <c r="AB25" i="29"/>
  <c r="X21" i="32"/>
  <c r="AS189" i="27"/>
  <c r="X20" i="32"/>
  <c r="Y11" i="32" s="1"/>
  <c r="AS35" i="27"/>
  <c r="AS238" i="27"/>
  <c r="AS188" i="27"/>
  <c r="AS530" i="27"/>
  <c r="AS494" i="27"/>
  <c r="AS529" i="27"/>
  <c r="AS59" i="27" l="1"/>
  <c r="O7" i="67"/>
  <c r="Y34" i="38"/>
  <c r="Y50" i="32"/>
  <c r="Y10" i="32"/>
  <c r="X53" i="38"/>
  <c r="Y16" i="38" s="1"/>
  <c r="AB30" i="29"/>
  <c r="AC10" i="29" s="1"/>
  <c r="X51" i="31"/>
  <c r="Y14" i="31" s="1"/>
  <c r="Y14" i="32"/>
  <c r="Y13" i="32"/>
  <c r="Y45" i="32"/>
  <c r="Y26" i="38"/>
  <c r="Y24" i="38"/>
  <c r="Y10" i="38"/>
  <c r="AS441" i="27"/>
  <c r="AB41" i="29"/>
  <c r="AC41" i="29" s="1"/>
  <c r="X50" i="31"/>
  <c r="Y11" i="31" s="1"/>
  <c r="X49" i="38"/>
  <c r="Y12" i="38" s="1"/>
  <c r="AS560" i="27"/>
  <c r="AS564" i="27"/>
  <c r="AS158" i="27"/>
  <c r="X62" i="30"/>
  <c r="X24" i="32"/>
  <c r="AS314" i="27"/>
  <c r="X18" i="38"/>
  <c r="AS99" i="27"/>
  <c r="AS61" i="27"/>
  <c r="AS436" i="27"/>
  <c r="X34" i="32"/>
  <c r="Y15" i="32" s="1"/>
  <c r="X40" i="31"/>
  <c r="X33" i="32"/>
  <c r="X23" i="32"/>
  <c r="X48" i="38"/>
  <c r="X50" i="38"/>
  <c r="X25" i="32"/>
  <c r="Y9" i="32" s="1"/>
  <c r="X16" i="31"/>
  <c r="Y16" i="31" s="1"/>
  <c r="X9" i="30"/>
  <c r="X14" i="30"/>
  <c r="AS245" i="27"/>
  <c r="X37" i="31"/>
  <c r="X51" i="32"/>
  <c r="X16" i="30"/>
  <c r="X50" i="30"/>
  <c r="X8" i="30"/>
  <c r="X13" i="30"/>
  <c r="AS506" i="27"/>
  <c r="AS200" i="27"/>
  <c r="X18" i="30"/>
  <c r="X17" i="30"/>
  <c r="AB44" i="29"/>
  <c r="AS556" i="27"/>
  <c r="X15" i="30"/>
  <c r="X10" i="30"/>
  <c r="AS331" i="27"/>
  <c r="AS199" i="27"/>
  <c r="AS554" i="27" s="1"/>
  <c r="AS524" i="27"/>
  <c r="AS495" i="27"/>
  <c r="AS496" i="27"/>
  <c r="AS493" i="27"/>
  <c r="AS525" i="27"/>
  <c r="O8" i="67" l="1"/>
  <c r="Y33" i="38"/>
  <c r="Y41" i="32"/>
  <c r="Y18" i="38"/>
  <c r="AS538" i="27"/>
  <c r="Y6" i="31"/>
  <c r="Y12" i="32"/>
  <c r="AC33" i="29"/>
  <c r="Y8" i="38"/>
  <c r="Y9" i="38"/>
  <c r="AS170" i="27"/>
  <c r="X49" i="31"/>
  <c r="AS106" i="27"/>
  <c r="AS315" i="27"/>
  <c r="X36" i="32"/>
  <c r="AS130" i="27"/>
  <c r="AS502" i="27"/>
  <c r="AS246" i="27"/>
  <c r="X64" i="30"/>
  <c r="X7" i="30"/>
  <c r="X12" i="30"/>
  <c r="O14" i="67" l="1"/>
  <c r="O13" i="67"/>
  <c r="Y8" i="32"/>
  <c r="AS535" i="27"/>
  <c r="X53" i="31"/>
  <c r="Y8" i="31"/>
  <c r="AS526" i="27"/>
  <c r="AS539" i="27"/>
  <c r="AS536" i="27"/>
  <c r="AS527" i="27"/>
  <c r="AS141" i="27"/>
  <c r="AS431" i="27" s="1"/>
  <c r="X6" i="30"/>
  <c r="X19" i="30"/>
  <c r="X20" i="30"/>
  <c r="AS143" i="27" l="1"/>
  <c r="AS175" i="27"/>
  <c r="O5" i="67" s="1"/>
  <c r="O16" i="67" s="1"/>
  <c r="AS176" i="27"/>
  <c r="O4" i="67" l="1"/>
  <c r="O12" i="67" s="1"/>
  <c r="AF74" i="27"/>
  <c r="L24" i="29" l="1"/>
  <c r="M24" i="29"/>
  <c r="N24" i="29"/>
  <c r="O24" i="29"/>
  <c r="P24" i="29"/>
  <c r="Q24" i="29"/>
  <c r="R24" i="29"/>
  <c r="S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C26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F63" i="27"/>
  <c r="G63" i="27"/>
  <c r="H63" i="27"/>
  <c r="I63" i="27"/>
  <c r="K63" i="27"/>
  <c r="M63" i="27"/>
  <c r="O63" i="27"/>
  <c r="C20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AR163" i="27"/>
  <c r="AX51" i="32" l="1"/>
  <c r="W28" i="32"/>
  <c r="AX28" i="32" s="1"/>
  <c r="W29" i="32"/>
  <c r="AX29" i="32" s="1"/>
  <c r="W57" i="30"/>
  <c r="W58" i="30"/>
  <c r="AN488" i="27" l="1"/>
  <c r="AR488" i="27"/>
  <c r="AV24" i="38"/>
  <c r="AX45" i="32"/>
  <c r="AX42" i="32"/>
  <c r="AV25" i="38"/>
  <c r="AV26" i="38"/>
  <c r="W37" i="30"/>
  <c r="W32" i="30"/>
  <c r="AX41" i="32" l="1"/>
  <c r="W46" i="30"/>
  <c r="W45" i="30"/>
  <c r="W43" i="31" l="1"/>
  <c r="W47" i="31"/>
  <c r="AX18" i="31"/>
  <c r="AR68" i="27" l="1"/>
  <c r="W36" i="31" s="1"/>
  <c r="AX21" i="31"/>
  <c r="AX25" i="31"/>
  <c r="AR467" i="27"/>
  <c r="AV36" i="38" l="1"/>
  <c r="AR468" i="27"/>
  <c r="AR425" i="27"/>
  <c r="AR466" i="27"/>
  <c r="AR444" i="27"/>
  <c r="AR445" i="27"/>
  <c r="AR447" i="27"/>
  <c r="AR448" i="27"/>
  <c r="AR449" i="27"/>
  <c r="AR461" i="27"/>
  <c r="BC37" i="29" s="1"/>
  <c r="AR462" i="27"/>
  <c r="BC38" i="29" s="1"/>
  <c r="AR463" i="27"/>
  <c r="BC39" i="29" s="1"/>
  <c r="AR310" i="27" l="1"/>
  <c r="AR303" i="27"/>
  <c r="AR320" i="27"/>
  <c r="AR325" i="27" s="1"/>
  <c r="AR453" i="27"/>
  <c r="AR458" i="27" s="1"/>
  <c r="BC16" i="29" s="1"/>
  <c r="AR452" i="27"/>
  <c r="AR457" i="27" s="1"/>
  <c r="BC15" i="29" s="1"/>
  <c r="AR443" i="27"/>
  <c r="AR451" i="27" s="1"/>
  <c r="AR456" i="27" s="1"/>
  <c r="AR371" i="27"/>
  <c r="AR324" i="27"/>
  <c r="AR159" i="27"/>
  <c r="AR160" i="27"/>
  <c r="AR161" i="27"/>
  <c r="AR162" i="27"/>
  <c r="AR151" i="27"/>
  <c r="AR152" i="27"/>
  <c r="AR156" i="27"/>
  <c r="AR155" i="27" s="1"/>
  <c r="AR153" i="27"/>
  <c r="AR150" i="27"/>
  <c r="AR101" i="27"/>
  <c r="AR102" i="27"/>
  <c r="AR103" i="27"/>
  <c r="W39" i="31"/>
  <c r="W38" i="31"/>
  <c r="W76" i="30"/>
  <c r="AR223" i="27"/>
  <c r="AR230" i="27" s="1"/>
  <c r="W46" i="31"/>
  <c r="W45" i="31"/>
  <c r="W35" i="31"/>
  <c r="AR75" i="27"/>
  <c r="AS570" i="27" l="1"/>
  <c r="X10" i="31"/>
  <c r="AJ10" i="31"/>
  <c r="X9" i="31"/>
  <c r="AJ9" i="31"/>
  <c r="W44" i="31"/>
  <c r="AR135" i="27"/>
  <c r="AA25" i="29"/>
  <c r="AR74" i="27"/>
  <c r="AA20" i="29"/>
  <c r="BC14" i="29"/>
  <c r="AR459" i="27"/>
  <c r="W32" i="32"/>
  <c r="AX32" i="32" s="1"/>
  <c r="W61" i="30"/>
  <c r="W53" i="30"/>
  <c r="W21" i="32"/>
  <c r="W46" i="38"/>
  <c r="W54" i="30"/>
  <c r="W22" i="32"/>
  <c r="W47" i="38"/>
  <c r="AR507" i="27"/>
  <c r="W51" i="30"/>
  <c r="W19" i="32"/>
  <c r="W44" i="38"/>
  <c r="W52" i="30"/>
  <c r="W20" i="32"/>
  <c r="W45" i="38"/>
  <c r="W56" i="30"/>
  <c r="W27" i="32"/>
  <c r="W30" i="32"/>
  <c r="W59" i="30"/>
  <c r="W52" i="38"/>
  <c r="W31" i="32"/>
  <c r="AX31" i="32" s="1"/>
  <c r="W60" i="30"/>
  <c r="AR248" i="27"/>
  <c r="W41" i="31"/>
  <c r="W42" i="31"/>
  <c r="AA26" i="29"/>
  <c r="AR427" i="27"/>
  <c r="AR109" i="27"/>
  <c r="AR464" i="27" s="1"/>
  <c r="AR149" i="27"/>
  <c r="AR198" i="27"/>
  <c r="W53" i="38" s="1"/>
  <c r="AR312" i="27"/>
  <c r="AR314" i="27" s="1"/>
  <c r="AR521" i="27"/>
  <c r="AR511" i="27"/>
  <c r="AR512" i="27"/>
  <c r="AR249" i="27"/>
  <c r="AR529" i="27"/>
  <c r="AR530" i="27"/>
  <c r="AR308" i="27"/>
  <c r="AR96" i="27"/>
  <c r="AR87" i="27"/>
  <c r="AR178" i="27" s="1"/>
  <c r="AR469" i="27" s="1"/>
  <c r="AR190" i="27"/>
  <c r="AR563" i="27"/>
  <c r="AR508" i="27"/>
  <c r="AR238" i="27"/>
  <c r="AR509" i="27"/>
  <c r="AR510" i="27"/>
  <c r="AR72" i="27"/>
  <c r="AR243" i="27"/>
  <c r="AR189" i="27"/>
  <c r="AR188" i="27"/>
  <c r="AR56" i="27"/>
  <c r="AR58" i="27" s="1"/>
  <c r="AR70" i="27"/>
  <c r="X34" i="38" l="1"/>
  <c r="AI34" i="38"/>
  <c r="AR59" i="27"/>
  <c r="N7" i="67"/>
  <c r="AJ13" i="31"/>
  <c r="AJ12" i="31"/>
  <c r="AI11" i="38"/>
  <c r="AJ11" i="32"/>
  <c r="AT537" i="27"/>
  <c r="AV18" i="38"/>
  <c r="W51" i="31"/>
  <c r="X14" i="32"/>
  <c r="AJ14" i="32"/>
  <c r="X13" i="32"/>
  <c r="AJ13" i="32"/>
  <c r="X10" i="32"/>
  <c r="AJ10" i="32"/>
  <c r="X10" i="38"/>
  <c r="AI10" i="38"/>
  <c r="X13" i="38"/>
  <c r="AI13" i="38"/>
  <c r="X16" i="38"/>
  <c r="AI16" i="38"/>
  <c r="X15" i="38"/>
  <c r="AI15" i="38"/>
  <c r="X14" i="38"/>
  <c r="AI14" i="38"/>
  <c r="X13" i="31"/>
  <c r="AR524" i="27"/>
  <c r="AX16" i="31"/>
  <c r="BC35" i="29"/>
  <c r="W40" i="31"/>
  <c r="AX20" i="32"/>
  <c r="X11" i="32"/>
  <c r="X12" i="31"/>
  <c r="W50" i="38"/>
  <c r="X11" i="38"/>
  <c r="AR555" i="27"/>
  <c r="W33" i="31"/>
  <c r="AJ6" i="31" s="1"/>
  <c r="AS537" i="27"/>
  <c r="AS549" i="27"/>
  <c r="AS544" i="27"/>
  <c r="AR158" i="27"/>
  <c r="W37" i="31"/>
  <c r="W49" i="31" s="1"/>
  <c r="W62" i="30"/>
  <c r="AA22" i="29"/>
  <c r="W49" i="38"/>
  <c r="W50" i="31"/>
  <c r="W33" i="32"/>
  <c r="AX33" i="32" s="1"/>
  <c r="AX27" i="32"/>
  <c r="W16" i="30"/>
  <c r="W11" i="30"/>
  <c r="W23" i="32"/>
  <c r="W24" i="32"/>
  <c r="AX21" i="32"/>
  <c r="W15" i="30"/>
  <c r="W10" i="30"/>
  <c r="W14" i="30"/>
  <c r="W9" i="30"/>
  <c r="W48" i="38"/>
  <c r="W25" i="32"/>
  <c r="AX19" i="32"/>
  <c r="W50" i="30"/>
  <c r="W8" i="30"/>
  <c r="W13" i="30"/>
  <c r="W17" i="30"/>
  <c r="W18" i="30"/>
  <c r="AX30" i="32"/>
  <c r="W34" i="32"/>
  <c r="AX22" i="32"/>
  <c r="AR525" i="27"/>
  <c r="AA30" i="29"/>
  <c r="AR199" i="27"/>
  <c r="AR506" i="27"/>
  <c r="AR99" i="27"/>
  <c r="AR538" i="27" s="1"/>
  <c r="AR560" i="27"/>
  <c r="AR200" i="27"/>
  <c r="AR564" i="27"/>
  <c r="AR245" i="27"/>
  <c r="N8" i="67" l="1"/>
  <c r="X33" i="38"/>
  <c r="AI33" i="38"/>
  <c r="X14" i="31"/>
  <c r="AJ14" i="31"/>
  <c r="AJ15" i="32"/>
  <c r="AJ9" i="32"/>
  <c r="AJ8" i="31"/>
  <c r="AJ12" i="32"/>
  <c r="AJ8" i="32"/>
  <c r="X9" i="38"/>
  <c r="AI9" i="38"/>
  <c r="X8" i="38"/>
  <c r="AI8" i="38"/>
  <c r="X12" i="38"/>
  <c r="AI12" i="38"/>
  <c r="AB10" i="29"/>
  <c r="AN10" i="29"/>
  <c r="AJ11" i="31"/>
  <c r="AS540" i="27"/>
  <c r="AT540" i="27"/>
  <c r="AS545" i="27"/>
  <c r="X8" i="31"/>
  <c r="X8" i="32"/>
  <c r="X6" i="31"/>
  <c r="X11" i="31"/>
  <c r="AX34" i="32"/>
  <c r="X15" i="32"/>
  <c r="AX24" i="32"/>
  <c r="X12" i="32"/>
  <c r="W64" i="30"/>
  <c r="W19" i="30" s="1"/>
  <c r="AX25" i="32"/>
  <c r="X9" i="32"/>
  <c r="AR554" i="27"/>
  <c r="AS550" i="27"/>
  <c r="AR170" i="27"/>
  <c r="AX23" i="32"/>
  <c r="W36" i="32"/>
  <c r="W7" i="30"/>
  <c r="W12" i="30"/>
  <c r="AR246" i="27"/>
  <c r="AR502" i="27"/>
  <c r="W53" i="31"/>
  <c r="AR106" i="27"/>
  <c r="BC12" i="29"/>
  <c r="AR130" i="27"/>
  <c r="O18" i="67" l="1"/>
  <c r="N14" i="67"/>
  <c r="N13" i="67"/>
  <c r="AR535" i="27"/>
  <c r="AR570" i="27"/>
  <c r="W6" i="30"/>
  <c r="AX36" i="32"/>
  <c r="X6" i="32"/>
  <c r="W20" i="30"/>
  <c r="BC41" i="29"/>
  <c r="AR536" i="27"/>
  <c r="AR539" i="27"/>
  <c r="AR526" i="27"/>
  <c r="AR141" i="27"/>
  <c r="AR431" i="27" s="1"/>
  <c r="AR527" i="27"/>
  <c r="AR143" i="27" l="1"/>
  <c r="N4" i="67" s="1"/>
  <c r="N12" i="67" s="1"/>
  <c r="AR176" i="27"/>
  <c r="AR175" i="27" l="1"/>
  <c r="N5" i="67" s="1"/>
  <c r="N16" i="67" s="1"/>
  <c r="W71" i="30"/>
  <c r="W25" i="30" s="1"/>
  <c r="AR516" i="27" l="1"/>
  <c r="AR213" i="27"/>
  <c r="W72" i="30" l="1"/>
  <c r="W26" i="30" s="1"/>
  <c r="AR517" i="27" l="1"/>
  <c r="AR214" i="27"/>
  <c r="AR519" i="27"/>
  <c r="W69" i="30" l="1"/>
  <c r="W23" i="30" s="1"/>
  <c r="AR215" i="27" l="1"/>
  <c r="AR514" i="27"/>
  <c r="AR498" i="27" l="1"/>
  <c r="W70" i="30" l="1"/>
  <c r="W24" i="30" s="1"/>
  <c r="AR216" i="27" l="1"/>
  <c r="AR515" i="27"/>
  <c r="AR518" i="27"/>
  <c r="AR202" i="27"/>
  <c r="W68" i="30" s="1"/>
  <c r="W22" i="30" s="1"/>
  <c r="AR212" i="27" l="1"/>
  <c r="AR513" i="27"/>
  <c r="AA23" i="29" l="1"/>
  <c r="AA28" i="29" s="1"/>
  <c r="AX40" i="32" l="1"/>
  <c r="AU4" i="29" l="1"/>
  <c r="AQ4" i="32"/>
  <c r="W31" i="31"/>
  <c r="W30" i="31"/>
  <c r="W29" i="31"/>
  <c r="W27" i="31"/>
  <c r="W26" i="31"/>
  <c r="W24" i="31"/>
  <c r="AQ4" i="31"/>
  <c r="W29" i="38"/>
  <c r="W23" i="38"/>
  <c r="W22" i="38"/>
  <c r="W21" i="38"/>
  <c r="W20" i="38"/>
  <c r="AO4" i="38"/>
  <c r="Z47" i="29"/>
  <c r="Z46" i="29"/>
  <c r="Z45" i="29"/>
  <c r="W19" i="31" l="1"/>
  <c r="W20" i="31"/>
  <c r="W22" i="31"/>
  <c r="W23" i="31"/>
  <c r="W21" i="31" s="1"/>
  <c r="W28" i="38"/>
  <c r="W25" i="38"/>
  <c r="W26" i="38"/>
  <c r="W24" i="38"/>
  <c r="W25" i="31"/>
  <c r="AQ21" i="31"/>
  <c r="AQ45" i="32"/>
  <c r="AQ42" i="32"/>
  <c r="AQ25" i="31"/>
  <c r="AQ18" i="31"/>
  <c r="AO25" i="38"/>
  <c r="AO24" i="38"/>
  <c r="AO26" i="38"/>
  <c r="V37" i="30"/>
  <c r="V46" i="30" s="1"/>
  <c r="V32" i="30"/>
  <c r="AQ447" i="27"/>
  <c r="AQ448" i="27"/>
  <c r="AQ449" i="27"/>
  <c r="V47" i="31"/>
  <c r="AQ223" i="27"/>
  <c r="AQ230" i="27" s="1"/>
  <c r="AQ151" i="27"/>
  <c r="AQ160" i="27"/>
  <c r="AQ161" i="27"/>
  <c r="AQ162" i="27"/>
  <c r="AQ174" i="27"/>
  <c r="AQ101" i="27"/>
  <c r="AQ102" i="27"/>
  <c r="AQ103" i="27"/>
  <c r="AQ461" i="27" l="1"/>
  <c r="AU37" i="29" s="1"/>
  <c r="AA37" i="29" s="1"/>
  <c r="AQ462" i="27"/>
  <c r="AU38" i="29" s="1"/>
  <c r="AA38" i="29" s="1"/>
  <c r="AQ463" i="27"/>
  <c r="AU39" i="29" s="1"/>
  <c r="AA39" i="29" s="1"/>
  <c r="AQ467" i="27"/>
  <c r="W18" i="31"/>
  <c r="AQ466" i="27"/>
  <c r="AQ468" i="27"/>
  <c r="AM488" i="27"/>
  <c r="AQ425" i="27"/>
  <c r="AQ324" i="27"/>
  <c r="AQ445" i="27"/>
  <c r="AQ453" i="27" s="1"/>
  <c r="AQ458" i="27" s="1"/>
  <c r="AU16" i="29" s="1"/>
  <c r="AA16" i="29" s="1"/>
  <c r="AQ443" i="27"/>
  <c r="AQ451" i="27" s="1"/>
  <c r="AQ456" i="27" s="1"/>
  <c r="AU14" i="29" s="1"/>
  <c r="AQ444" i="27"/>
  <c r="AQ452" i="27" s="1"/>
  <c r="AQ457" i="27" s="1"/>
  <c r="AU15" i="29" s="1"/>
  <c r="AQ371" i="27"/>
  <c r="V28" i="32"/>
  <c r="AQ28" i="32" s="1"/>
  <c r="V57" i="30"/>
  <c r="V27" i="32"/>
  <c r="V56" i="30"/>
  <c r="V29" i="32"/>
  <c r="AQ29" i="32" s="1"/>
  <c r="V58" i="30"/>
  <c r="AQ41" i="32"/>
  <c r="V45" i="30"/>
  <c r="AQ320" i="27"/>
  <c r="AQ325" i="27" s="1"/>
  <c r="AQ68" i="27"/>
  <c r="V36" i="31" s="1"/>
  <c r="AQ310" i="27"/>
  <c r="AO36" i="38" l="1"/>
  <c r="AA14" i="29"/>
  <c r="AQ459" i="27"/>
  <c r="AA15" i="29"/>
  <c r="AA12" i="29" s="1"/>
  <c r="AQ427" i="27"/>
  <c r="AQ27" i="32"/>
  <c r="AQ159" i="27" l="1"/>
  <c r="V30" i="32" l="1"/>
  <c r="V59" i="30"/>
  <c r="V35" i="31"/>
  <c r="AQ30" i="32" l="1"/>
  <c r="V45" i="31"/>
  <c r="V43" i="31" l="1"/>
  <c r="V41" i="31" l="1"/>
  <c r="W12" i="31" l="1"/>
  <c r="V42" i="31" l="1"/>
  <c r="AQ243" i="27"/>
  <c r="V50" i="31" l="1"/>
  <c r="W11" i="31"/>
  <c r="W13" i="31"/>
  <c r="V40" i="31"/>
  <c r="AQ163" i="27" l="1"/>
  <c r="V38" i="31" l="1"/>
  <c r="W9" i="31" l="1"/>
  <c r="AQ249" i="27"/>
  <c r="V39" i="31" l="1"/>
  <c r="W10" i="31" l="1"/>
  <c r="AQ248" i="27"/>
  <c r="AQ238" i="27"/>
  <c r="AQ245" i="27" l="1"/>
  <c r="V37" i="31"/>
  <c r="V49" i="31" l="1"/>
  <c r="AQ563" i="27"/>
  <c r="W8" i="31" l="1"/>
  <c r="AQ246" i="27"/>
  <c r="AQ303" i="27" l="1"/>
  <c r="V76" i="30" l="1"/>
  <c r="Z25" i="29"/>
  <c r="AQ312" i="27"/>
  <c r="Z20" i="29" l="1"/>
  <c r="AQ74" i="27"/>
  <c r="Z22" i="29" l="1"/>
  <c r="V51" i="30" l="1"/>
  <c r="V44" i="38"/>
  <c r="W10" i="38" s="1"/>
  <c r="V19" i="32"/>
  <c r="V31" i="32"/>
  <c r="V60" i="30"/>
  <c r="AQ507" i="27"/>
  <c r="AQ19" i="32" l="1"/>
  <c r="AQ31" i="32"/>
  <c r="V13" i="30"/>
  <c r="V8" i="30"/>
  <c r="V61" i="30" l="1"/>
  <c r="V32" i="32"/>
  <c r="V52" i="38"/>
  <c r="AQ521" i="27"/>
  <c r="AQ198" i="27"/>
  <c r="W15" i="38" l="1"/>
  <c r="V53" i="30"/>
  <c r="V46" i="38"/>
  <c r="W13" i="38" s="1"/>
  <c r="V21" i="32"/>
  <c r="AQ32" i="32"/>
  <c r="V33" i="32"/>
  <c r="AQ33" i="32" s="1"/>
  <c r="V34" i="32"/>
  <c r="AQ555" i="27"/>
  <c r="V53" i="38"/>
  <c r="W16" i="38" s="1"/>
  <c r="V17" i="30"/>
  <c r="V62" i="30"/>
  <c r="V18" i="30"/>
  <c r="AQ509" i="27"/>
  <c r="AQ34" i="32" l="1"/>
  <c r="AQ21" i="32"/>
  <c r="V15" i="30"/>
  <c r="V10" i="30"/>
  <c r="V52" i="30" l="1"/>
  <c r="V45" i="38"/>
  <c r="W11" i="38" s="1"/>
  <c r="V20" i="32"/>
  <c r="AQ508" i="27"/>
  <c r="AQ511" i="27"/>
  <c r="AQ190" i="27"/>
  <c r="V50" i="38" l="1"/>
  <c r="W9" i="38" s="1"/>
  <c r="AQ20" i="32"/>
  <c r="V25" i="32"/>
  <c r="V9" i="30"/>
  <c r="V14" i="30"/>
  <c r="AQ25" i="32" l="1"/>
  <c r="AQ72" i="27" l="1"/>
  <c r="AQ153" i="27" l="1"/>
  <c r="AQ152" i="27" l="1"/>
  <c r="Z26" i="29" l="1"/>
  <c r="Z30" i="29" s="1"/>
  <c r="AA10" i="29" s="1"/>
  <c r="AQ530" i="27"/>
  <c r="AQ529" i="27"/>
  <c r="AQ308" i="27"/>
  <c r="V44" i="31" l="1"/>
  <c r="V22" i="32" l="1"/>
  <c r="V54" i="30"/>
  <c r="V47" i="38"/>
  <c r="W14" i="38" s="1"/>
  <c r="AQ510" i="27"/>
  <c r="AQ512" i="27"/>
  <c r="AQ189" i="27"/>
  <c r="AQ188" i="27"/>
  <c r="V11" i="30" l="1"/>
  <c r="V16" i="30"/>
  <c r="V50" i="30"/>
  <c r="V49" i="38"/>
  <c r="W12" i="38" s="1"/>
  <c r="V48" i="38"/>
  <c r="V24" i="32"/>
  <c r="AQ22" i="32"/>
  <c r="V23" i="32"/>
  <c r="AQ200" i="27"/>
  <c r="AQ506" i="27"/>
  <c r="AQ199" i="27"/>
  <c r="W8" i="38" l="1"/>
  <c r="AQ24" i="32"/>
  <c r="AQ23" i="32"/>
  <c r="V36" i="32"/>
  <c r="V64" i="30"/>
  <c r="V12" i="30"/>
  <c r="V7" i="30"/>
  <c r="V6" i="30" s="1"/>
  <c r="AQ554" i="27"/>
  <c r="AQ502" i="27"/>
  <c r="AQ494" i="27"/>
  <c r="AQ36" i="32" l="1"/>
  <c r="V20" i="30"/>
  <c r="V19" i="30"/>
  <c r="AQ96" i="27" l="1"/>
  <c r="AQ16" i="31" l="1"/>
  <c r="W16" i="31" l="1"/>
  <c r="AQ87" i="27" l="1"/>
  <c r="AQ99" i="27" l="1"/>
  <c r="AO18" i="38"/>
  <c r="W18" i="38" l="1"/>
  <c r="AU12" i="29"/>
  <c r="V46" i="31"/>
  <c r="V51" i="31" l="1"/>
  <c r="AQ70" i="27"/>
  <c r="AQ46" i="27"/>
  <c r="AQ150" i="27"/>
  <c r="AQ149" i="27" s="1"/>
  <c r="W14" i="31" l="1"/>
  <c r="AQ497" i="27"/>
  <c r="AQ441" i="27"/>
  <c r="V33" i="31"/>
  <c r="AQ156" i="27"/>
  <c r="AQ155" i="27" s="1"/>
  <c r="W6" i="31" l="1"/>
  <c r="V53" i="31"/>
  <c r="AQ135" i="27" l="1"/>
  <c r="AQ524" i="27" l="1"/>
  <c r="AQ488" i="27" l="1"/>
  <c r="AQ178" i="27"/>
  <c r="AQ469" i="27" s="1"/>
  <c r="AQ109" i="27" l="1"/>
  <c r="AU35" i="29"/>
  <c r="AA35" i="29" s="1"/>
  <c r="AQ525" i="27"/>
  <c r="AQ130" i="27"/>
  <c r="AQ538" i="27" l="1"/>
  <c r="AQ464" i="27"/>
  <c r="AU41" i="29"/>
  <c r="AQ535" i="27"/>
  <c r="AQ536" i="27"/>
  <c r="AA41" i="29" l="1"/>
  <c r="AQ35" i="27"/>
  <c r="Z44" i="29" l="1"/>
  <c r="AQ436" i="27"/>
  <c r="AQ556" i="27"/>
  <c r="AQ331" i="27"/>
  <c r="AQ496" i="27"/>
  <c r="AQ493" i="27"/>
  <c r="AQ56" i="27"/>
  <c r="AQ58" i="27" s="1"/>
  <c r="AQ59" i="27" l="1"/>
  <c r="M8" i="67" s="1"/>
  <c r="M7" i="67"/>
  <c r="AQ564" i="27"/>
  <c r="AQ560" i="27"/>
  <c r="AQ495" i="27"/>
  <c r="AQ61" i="27"/>
  <c r="M13" i="67" l="1"/>
  <c r="M14" i="67"/>
  <c r="AQ106" i="27"/>
  <c r="AQ539" i="27"/>
  <c r="AQ141" i="27" l="1"/>
  <c r="AQ431" i="27" s="1"/>
  <c r="AQ526" i="27"/>
  <c r="AQ143" i="27" l="1"/>
  <c r="M4" i="67" s="1"/>
  <c r="M12" i="67" s="1"/>
  <c r="AT25" i="31" l="1"/>
  <c r="AT18" i="31"/>
  <c r="AB129" i="27" l="1"/>
  <c r="AF129" i="27" l="1"/>
  <c r="AF166" i="27" l="1"/>
  <c r="V155" i="27" l="1"/>
  <c r="X155" i="27"/>
  <c r="Z155" i="27"/>
  <c r="AJ129" i="27" l="1"/>
  <c r="AJ166" i="27" s="1"/>
  <c r="AB70" i="27" l="1"/>
  <c r="G33" i="31" s="1"/>
  <c r="AB208" i="27" l="1"/>
  <c r="K24" i="29" s="1"/>
  <c r="AJ313" i="27"/>
  <c r="AI313" i="27"/>
  <c r="AH313" i="27"/>
  <c r="AG313" i="27"/>
  <c r="X310" i="27"/>
  <c r="Y310" i="27"/>
  <c r="Z310" i="27"/>
  <c r="AA310" i="27"/>
  <c r="X311" i="27"/>
  <c r="Y311" i="27"/>
  <c r="Z311" i="27"/>
  <c r="AA311" i="27"/>
  <c r="X312" i="27"/>
  <c r="Y312" i="27"/>
  <c r="Z312" i="27"/>
  <c r="AA312" i="27"/>
  <c r="X313" i="27"/>
  <c r="AB313" i="27"/>
  <c r="AF313" i="27"/>
  <c r="AM313" i="27"/>
  <c r="AL313" i="27" l="1"/>
  <c r="F30" i="29" l="1"/>
  <c r="E30" i="29"/>
  <c r="D30" i="29"/>
  <c r="AU26" i="31" l="1"/>
  <c r="AN26" i="31"/>
  <c r="AN21" i="31"/>
  <c r="AO18" i="31"/>
  <c r="AO21" i="31"/>
  <c r="K31" i="31" l="1"/>
  <c r="K24" i="31"/>
  <c r="AG18" i="31" l="1"/>
  <c r="AG21" i="31"/>
  <c r="L18" i="31"/>
  <c r="L21" i="31"/>
  <c r="M24" i="31"/>
  <c r="M18" i="31" l="1"/>
  <c r="N24" i="31" l="1"/>
  <c r="S24" i="31" l="1"/>
  <c r="O24" i="31"/>
  <c r="O31" i="31"/>
  <c r="S31" i="31"/>
  <c r="H21" i="31" l="1"/>
  <c r="AV25" i="31" l="1"/>
  <c r="AO25" i="31"/>
  <c r="AV21" i="31"/>
  <c r="AU21" i="31"/>
  <c r="AT21" i="31"/>
  <c r="U31" i="31" l="1"/>
  <c r="V31" i="31"/>
  <c r="U24" i="31"/>
  <c r="V24" i="31"/>
  <c r="R31" i="31" l="1"/>
  <c r="Q31" i="31"/>
  <c r="R24" i="31"/>
  <c r="Q24" i="31"/>
  <c r="M31" i="31"/>
  <c r="AG25" i="31"/>
  <c r="N31" i="31"/>
  <c r="L47" i="31"/>
  <c r="M47" i="31"/>
  <c r="N47" i="31"/>
  <c r="Q47" i="31"/>
  <c r="P70" i="27"/>
  <c r="Q70" i="27"/>
  <c r="R70" i="27"/>
  <c r="S70" i="27"/>
  <c r="U70" i="27"/>
  <c r="W70" i="27"/>
  <c r="Z70" i="27"/>
  <c r="E33" i="31" s="1"/>
  <c r="AA70" i="27"/>
  <c r="F33" i="31" s="1"/>
  <c r="AC70" i="27"/>
  <c r="H33" i="31" s="1"/>
  <c r="AD70" i="27"/>
  <c r="I33" i="31" s="1"/>
  <c r="AE70" i="27"/>
  <c r="J33" i="31" s="1"/>
  <c r="AF70" i="27"/>
  <c r="K33" i="31" s="1"/>
  <c r="AG70" i="27"/>
  <c r="AH70" i="27"/>
  <c r="AI70" i="27"/>
  <c r="U47" i="31"/>
  <c r="T47" i="31"/>
  <c r="S47" i="31"/>
  <c r="R47" i="31"/>
  <c r="P47" i="31"/>
  <c r="AJ70" i="27"/>
  <c r="O47" i="31" l="1"/>
  <c r="AE74" i="27" l="1"/>
  <c r="AT4" i="29" l="1"/>
  <c r="AH163" i="27" l="1"/>
  <c r="AH162" i="27"/>
  <c r="AH161" i="27"/>
  <c r="AH160" i="27"/>
  <c r="AH156" i="27"/>
  <c r="AH155" i="27" s="1"/>
  <c r="AH153" i="27"/>
  <c r="AH152" i="27"/>
  <c r="AH151" i="27"/>
  <c r="AH150" i="27"/>
  <c r="AH149" i="27" s="1"/>
  <c r="AH135" i="27"/>
  <c r="AH166" i="27"/>
  <c r="AH159" i="27"/>
  <c r="AH109" i="27"/>
  <c r="AH103" i="27"/>
  <c r="AH102" i="27"/>
  <c r="AH101" i="27"/>
  <c r="AH96" i="27"/>
  <c r="AG16" i="31" s="1"/>
  <c r="AH87" i="27"/>
  <c r="AH178" i="27" s="1"/>
  <c r="AH158" i="27" l="1"/>
  <c r="AH99" i="27"/>
  <c r="AH130" i="27" s="1"/>
  <c r="AH141" i="27" s="1"/>
  <c r="AH538" i="27" l="1"/>
  <c r="AH106" i="27"/>
  <c r="AH170" i="27"/>
  <c r="AH143" i="27"/>
  <c r="AH176" i="27" l="1"/>
  <c r="AH175" i="27"/>
  <c r="V47" i="32" l="1"/>
  <c r="W47" i="32" s="1"/>
  <c r="W14" i="32" s="1"/>
  <c r="V46" i="32"/>
  <c r="W46" i="32" s="1"/>
  <c r="W13" i="32" s="1"/>
  <c r="V44" i="32"/>
  <c r="W44" i="32" s="1"/>
  <c r="W11" i="32" s="1"/>
  <c r="V43" i="32"/>
  <c r="W43" i="32" s="1"/>
  <c r="W10" i="32" s="1"/>
  <c r="V30" i="31"/>
  <c r="V29" i="31"/>
  <c r="V27" i="31"/>
  <c r="V26" i="31"/>
  <c r="V23" i="31"/>
  <c r="V50" i="32" l="1"/>
  <c r="W50" i="32" s="1"/>
  <c r="W15" i="32" s="1"/>
  <c r="V22" i="31"/>
  <c r="AI21" i="31"/>
  <c r="V25" i="31"/>
  <c r="V21" i="31"/>
  <c r="AI25" i="31"/>
  <c r="AI45" i="32"/>
  <c r="V45" i="32" s="1"/>
  <c r="W45" i="32" s="1"/>
  <c r="W12" i="32" s="1"/>
  <c r="AI42" i="32"/>
  <c r="V42" i="32" s="1"/>
  <c r="W42" i="32" s="1"/>
  <c r="W9" i="32" s="1"/>
  <c r="V28" i="38"/>
  <c r="V23" i="38"/>
  <c r="V22" i="38"/>
  <c r="V21" i="38"/>
  <c r="V20" i="38"/>
  <c r="V20" i="31" l="1"/>
  <c r="V19" i="31"/>
  <c r="V25" i="38"/>
  <c r="V26" i="38"/>
  <c r="V24" i="38"/>
  <c r="AI41" i="32"/>
  <c r="AI18" i="31"/>
  <c r="AH25" i="38"/>
  <c r="AH24" i="38"/>
  <c r="AH26" i="38"/>
  <c r="V18" i="31" l="1"/>
  <c r="V41" i="32"/>
  <c r="W41" i="32" s="1"/>
  <c r="W8" i="32" s="1"/>
  <c r="AK488" i="27" l="1"/>
  <c r="AP488" i="27" l="1"/>
  <c r="AL488" i="27"/>
  <c r="X303" i="27"/>
  <c r="Y303" i="27"/>
  <c r="Z303" i="27"/>
  <c r="AA303" i="27"/>
  <c r="AB303" i="27"/>
  <c r="AC303" i="27"/>
  <c r="AD303" i="27"/>
  <c r="AE303" i="27"/>
  <c r="AF303" i="27"/>
  <c r="AG303" i="27"/>
  <c r="AH303" i="27"/>
  <c r="AI303" i="27"/>
  <c r="U43" i="31"/>
  <c r="U39" i="31"/>
  <c r="U38" i="31"/>
  <c r="U76" i="30"/>
  <c r="AP223" i="27"/>
  <c r="AP230" i="27" s="1"/>
  <c r="AP163" i="27"/>
  <c r="V9" i="31" l="1"/>
  <c r="V10" i="31"/>
  <c r="U42" i="31"/>
  <c r="U41" i="31"/>
  <c r="U32" i="30"/>
  <c r="AP521" i="27"/>
  <c r="U30" i="32"/>
  <c r="AI30" i="32" s="1"/>
  <c r="U52" i="38"/>
  <c r="V15" i="38" s="1"/>
  <c r="AP510" i="27"/>
  <c r="U47" i="38"/>
  <c r="V14" i="38" s="1"/>
  <c r="U22" i="32"/>
  <c r="V14" i="32" s="1"/>
  <c r="U60" i="30"/>
  <c r="U31" i="32"/>
  <c r="U53" i="30"/>
  <c r="U10" i="30" s="1"/>
  <c r="U46" i="38"/>
  <c r="V13" i="38" s="1"/>
  <c r="U21" i="32"/>
  <c r="V13" i="32" s="1"/>
  <c r="U61" i="30"/>
  <c r="U32" i="32"/>
  <c r="AI32" i="32" s="1"/>
  <c r="AP238" i="27"/>
  <c r="U51" i="30"/>
  <c r="U8" i="30" s="1"/>
  <c r="U44" i="38"/>
  <c r="V10" i="38" s="1"/>
  <c r="U19" i="32"/>
  <c r="V10" i="32" s="1"/>
  <c r="U52" i="30"/>
  <c r="U9" i="30" s="1"/>
  <c r="U20" i="32"/>
  <c r="U45" i="38"/>
  <c r="V11" i="38" s="1"/>
  <c r="AP508" i="27"/>
  <c r="U54" i="30"/>
  <c r="U16" i="30" s="1"/>
  <c r="AP509" i="27"/>
  <c r="AP320" i="27"/>
  <c r="AP325" i="27" s="1"/>
  <c r="AP511" i="27"/>
  <c r="AP512" i="27"/>
  <c r="AP248" i="27"/>
  <c r="AP243" i="27"/>
  <c r="AP507" i="27"/>
  <c r="AP324" i="27"/>
  <c r="AP249" i="27"/>
  <c r="U59" i="30"/>
  <c r="U37" i="30"/>
  <c r="AP190" i="27"/>
  <c r="AP189" i="27"/>
  <c r="AP188" i="27"/>
  <c r="U37" i="31" l="1"/>
  <c r="U11" i="30"/>
  <c r="U50" i="31"/>
  <c r="V12" i="31"/>
  <c r="V13" i="31"/>
  <c r="AI20" i="32"/>
  <c r="V11" i="32"/>
  <c r="U45" i="30"/>
  <c r="U48" i="38"/>
  <c r="V8" i="38" s="1"/>
  <c r="U14" i="30"/>
  <c r="U17" i="30"/>
  <c r="AP506" i="27"/>
  <c r="U13" i="30"/>
  <c r="U49" i="38"/>
  <c r="V12" i="38" s="1"/>
  <c r="U49" i="31"/>
  <c r="U50" i="38"/>
  <c r="V9" i="38" s="1"/>
  <c r="AI22" i="32"/>
  <c r="U34" i="32"/>
  <c r="AI31" i="32"/>
  <c r="AP245" i="27"/>
  <c r="U40" i="31"/>
  <c r="U15" i="30"/>
  <c r="U25" i="32"/>
  <c r="AI19" i="32"/>
  <c r="U23" i="32"/>
  <c r="AI21" i="32"/>
  <c r="U24" i="32"/>
  <c r="V12" i="32" s="1"/>
  <c r="U50" i="30"/>
  <c r="U7" i="30" s="1"/>
  <c r="AP200" i="27"/>
  <c r="AP502" i="27" s="1"/>
  <c r="V15" i="32" l="1"/>
  <c r="V8" i="32"/>
  <c r="V8" i="31"/>
  <c r="V11" i="31"/>
  <c r="AI25" i="32"/>
  <c r="V9" i="32"/>
  <c r="AI34" i="32"/>
  <c r="AI24" i="32"/>
  <c r="AI23" i="32"/>
  <c r="U12" i="30"/>
  <c r="U6" i="30" s="1"/>
  <c r="AP153" i="27" l="1"/>
  <c r="AP150" i="27"/>
  <c r="AP151" i="27"/>
  <c r="AP152" i="27"/>
  <c r="AP156" i="27"/>
  <c r="AP155" i="27" s="1"/>
  <c r="AP159" i="27"/>
  <c r="AP160" i="27"/>
  <c r="AP161" i="27"/>
  <c r="AP162" i="27"/>
  <c r="AP135" i="27"/>
  <c r="AP75" i="27"/>
  <c r="U46" i="31"/>
  <c r="U45" i="31"/>
  <c r="U44" i="31"/>
  <c r="AP68" i="27"/>
  <c r="U36" i="31" s="1"/>
  <c r="AP563" i="27" l="1"/>
  <c r="Y20" i="29"/>
  <c r="AP149" i="27"/>
  <c r="U35" i="31"/>
  <c r="U51" i="31" s="1"/>
  <c r="AP70" i="27"/>
  <c r="U33" i="31" s="1"/>
  <c r="AP109" i="27"/>
  <c r="AP494" i="27"/>
  <c r="AP246" i="27"/>
  <c r="AP74" i="27"/>
  <c r="AP72" i="27"/>
  <c r="AP158" i="27"/>
  <c r="AP96" i="27"/>
  <c r="AP56" i="27"/>
  <c r="AP58" i="27" s="1"/>
  <c r="L7" i="67" s="1"/>
  <c r="AP46" i="27"/>
  <c r="R153" i="27"/>
  <c r="R152" i="27"/>
  <c r="T153" i="27"/>
  <c r="T152" i="27"/>
  <c r="T149" i="27" s="1"/>
  <c r="V152" i="27"/>
  <c r="W152" i="27"/>
  <c r="X152" i="27"/>
  <c r="Y152" i="27"/>
  <c r="Z152" i="27"/>
  <c r="AA152" i="27"/>
  <c r="AB152" i="27"/>
  <c r="AC152" i="27"/>
  <c r="AD152" i="27"/>
  <c r="AE152" i="27"/>
  <c r="AF152" i="27"/>
  <c r="V153" i="27"/>
  <c r="W153" i="27"/>
  <c r="X153" i="27"/>
  <c r="Y153" i="27"/>
  <c r="Z153" i="27"/>
  <c r="AA153" i="27"/>
  <c r="AB153" i="27"/>
  <c r="AC153" i="27"/>
  <c r="AD153" i="27"/>
  <c r="AE153" i="27"/>
  <c r="AF153" i="27"/>
  <c r="R149" i="27" l="1"/>
  <c r="V149" i="27"/>
  <c r="AP59" i="27"/>
  <c r="L8" i="67" s="1"/>
  <c r="AI16" i="31"/>
  <c r="V16" i="31" s="1"/>
  <c r="V6" i="31" s="1"/>
  <c r="X149" i="27"/>
  <c r="Z149" i="27"/>
  <c r="V14" i="31"/>
  <c r="AP170" i="27"/>
  <c r="AP560" i="27"/>
  <c r="AP564" i="27"/>
  <c r="U53" i="31"/>
  <c r="AM35" i="29"/>
  <c r="Z35" i="29" s="1"/>
  <c r="AP525" i="27"/>
  <c r="AP497" i="27"/>
  <c r="L14" i="67" l="1"/>
  <c r="L13" i="67"/>
  <c r="AP174" i="27"/>
  <c r="U47" i="32"/>
  <c r="U44" i="32"/>
  <c r="U43" i="32"/>
  <c r="U30" i="31"/>
  <c r="U29" i="31"/>
  <c r="U27" i="31"/>
  <c r="U23" i="31"/>
  <c r="U28" i="38"/>
  <c r="U23" i="38"/>
  <c r="U21" i="38"/>
  <c r="U20" i="31" l="1"/>
  <c r="T26" i="38"/>
  <c r="T24" i="38"/>
  <c r="U22" i="38"/>
  <c r="U25" i="38" s="1"/>
  <c r="T25" i="38"/>
  <c r="U50" i="32"/>
  <c r="T40" i="32"/>
  <c r="U26" i="31"/>
  <c r="U25" i="31" s="1"/>
  <c r="T25" i="31"/>
  <c r="U22" i="31"/>
  <c r="U21" i="31" s="1"/>
  <c r="T21" i="31"/>
  <c r="T51" i="32"/>
  <c r="U20" i="38"/>
  <c r="T18" i="31"/>
  <c r="U18" i="31" s="1"/>
  <c r="U19" i="31"/>
  <c r="U42" i="32"/>
  <c r="T45" i="32"/>
  <c r="U46" i="32"/>
  <c r="T42" i="32"/>
  <c r="U24" i="38" l="1"/>
  <c r="U26" i="38"/>
  <c r="T41" i="32"/>
  <c r="U45" i="32"/>
  <c r="U41" i="32" s="1"/>
  <c r="T32" i="30"/>
  <c r="T45" i="30" s="1"/>
  <c r="T37" i="30"/>
  <c r="T46" i="30" l="1"/>
  <c r="X46" i="29" l="1"/>
  <c r="X47" i="29"/>
  <c r="X45" i="29"/>
  <c r="AO463" i="27"/>
  <c r="X39" i="29" s="1"/>
  <c r="AO443" i="27"/>
  <c r="AO371" i="27"/>
  <c r="AO444" i="27" l="1"/>
  <c r="AO445" i="27"/>
  <c r="AO447" i="27"/>
  <c r="AO451" i="27" s="1"/>
  <c r="AO456" i="27" s="1"/>
  <c r="X14" i="29" s="1"/>
  <c r="AO448" i="27"/>
  <c r="AO449" i="27"/>
  <c r="AO461" i="27"/>
  <c r="X37" i="29" s="1"/>
  <c r="AO462" i="27"/>
  <c r="X38" i="29" s="1"/>
  <c r="AO425" i="27"/>
  <c r="AO223" i="27"/>
  <c r="AO230" i="27" s="1"/>
  <c r="AO75" i="27"/>
  <c r="AO452" i="27" l="1"/>
  <c r="AQ568" i="27"/>
  <c r="AQ570" i="27"/>
  <c r="AO457" i="27"/>
  <c r="X15" i="29" s="1"/>
  <c r="AO453" i="27"/>
  <c r="AO427" i="27"/>
  <c r="AO320" i="27"/>
  <c r="AO325" i="27" s="1"/>
  <c r="AO324" i="27"/>
  <c r="AO68" i="27"/>
  <c r="T36" i="31" s="1"/>
  <c r="AO458" i="27" l="1"/>
  <c r="AO459" i="27" l="1"/>
  <c r="X16" i="29"/>
  <c r="X12" i="29" l="1"/>
  <c r="T71" i="30"/>
  <c r="T25" i="30" s="1"/>
  <c r="T75" i="30" l="1"/>
  <c r="T27" i="30" s="1"/>
  <c r="T72" i="30"/>
  <c r="T26" i="30" s="1"/>
  <c r="T69" i="30" l="1"/>
  <c r="T23" i="30" s="1"/>
  <c r="T70" i="30" l="1"/>
  <c r="T24" i="30" s="1"/>
  <c r="AO202" i="27" l="1"/>
  <c r="T68" i="30" s="1"/>
  <c r="T22" i="30" s="1"/>
  <c r="T43" i="31" l="1"/>
  <c r="T38" i="31" l="1"/>
  <c r="T30" i="32"/>
  <c r="T59" i="30"/>
  <c r="AX9" i="31" l="1"/>
  <c r="AQ9" i="31"/>
  <c r="AI9" i="31"/>
  <c r="T9" i="31"/>
  <c r="U9" i="31"/>
  <c r="T41" i="31"/>
  <c r="AO249" i="27"/>
  <c r="U12" i="31" l="1"/>
  <c r="T39" i="31"/>
  <c r="AO238" i="27"/>
  <c r="AX10" i="31" l="1"/>
  <c r="AQ10" i="31"/>
  <c r="AI10" i="31"/>
  <c r="T10" i="31"/>
  <c r="U10" i="31"/>
  <c r="T37" i="31"/>
  <c r="T49" i="31" s="1"/>
  <c r="T42" i="31" l="1"/>
  <c r="AO248" i="27"/>
  <c r="U8" i="31"/>
  <c r="U13" i="31"/>
  <c r="AO243" i="27"/>
  <c r="T50" i="31" l="1"/>
  <c r="U11" i="31" s="1"/>
  <c r="AO245" i="27"/>
  <c r="T40" i="31"/>
  <c r="T76" i="30" l="1"/>
  <c r="T74" i="30" s="1"/>
  <c r="AO207" i="27" l="1"/>
  <c r="AO210" i="27" l="1"/>
  <c r="T78" i="30" s="1"/>
  <c r="T28" i="30" s="1"/>
  <c r="T19" i="32" l="1"/>
  <c r="U10" i="32" s="1"/>
  <c r="T44" i="38"/>
  <c r="T51" i="30"/>
  <c r="AO215" i="27"/>
  <c r="U10" i="38" l="1"/>
  <c r="T21" i="32"/>
  <c r="U13" i="32" s="1"/>
  <c r="T46" i="38"/>
  <c r="T53" i="30"/>
  <c r="T31" i="32"/>
  <c r="T60" i="30"/>
  <c r="T8" i="30"/>
  <c r="T13" i="30"/>
  <c r="AO213" i="27"/>
  <c r="U13" i="38" l="1"/>
  <c r="T10" i="30"/>
  <c r="T15" i="30"/>
  <c r="X24" i="29" l="1"/>
  <c r="T32" i="32"/>
  <c r="T34" i="32" s="1"/>
  <c r="T61" i="30"/>
  <c r="T52" i="38"/>
  <c r="U15" i="38" l="1"/>
  <c r="U15" i="32"/>
  <c r="T22" i="32"/>
  <c r="U14" i="32" s="1"/>
  <c r="T47" i="38"/>
  <c r="T54" i="30"/>
  <c r="T17" i="30"/>
  <c r="T18" i="30"/>
  <c r="AO214" i="27"/>
  <c r="AO189" i="27"/>
  <c r="U14" i="38" l="1"/>
  <c r="T24" i="32"/>
  <c r="U12" i="32" s="1"/>
  <c r="T11" i="30"/>
  <c r="T16" i="30"/>
  <c r="T49" i="38"/>
  <c r="U12" i="38" l="1"/>
  <c r="T20" i="32"/>
  <c r="U11" i="32" s="1"/>
  <c r="T45" i="38"/>
  <c r="T52" i="30"/>
  <c r="AO216" i="27"/>
  <c r="AO188" i="27"/>
  <c r="AO190" i="27"/>
  <c r="U11" i="38" l="1"/>
  <c r="T9" i="30"/>
  <c r="T14" i="30"/>
  <c r="T50" i="30"/>
  <c r="T50" i="38"/>
  <c r="T48" i="38"/>
  <c r="T25" i="32"/>
  <c r="U9" i="32" s="1"/>
  <c r="T23" i="32"/>
  <c r="AO212" i="27"/>
  <c r="AO200" i="27"/>
  <c r="U8" i="38" l="1"/>
  <c r="U9" i="38"/>
  <c r="U8" i="32"/>
  <c r="X23" i="29"/>
  <c r="X28" i="29" s="1"/>
  <c r="T7" i="30"/>
  <c r="T12" i="30"/>
  <c r="AO219" i="27"/>
  <c r="T6" i="30" l="1"/>
  <c r="AO488" i="27" l="1"/>
  <c r="AO151" i="27" l="1"/>
  <c r="AO159" i="27"/>
  <c r="AO160" i="27"/>
  <c r="AO161" i="27"/>
  <c r="AO162" i="27"/>
  <c r="AO163" i="27"/>
  <c r="AO152" i="27"/>
  <c r="AO156" i="27"/>
  <c r="AO155" i="27" s="1"/>
  <c r="AO153" i="27"/>
  <c r="AO150" i="27"/>
  <c r="AO101" i="27"/>
  <c r="AO102" i="27"/>
  <c r="AO103" i="27"/>
  <c r="AO522" i="27"/>
  <c r="AO521" i="27"/>
  <c r="AO519" i="27"/>
  <c r="AO518" i="27"/>
  <c r="AO517" i="27"/>
  <c r="AO516" i="27"/>
  <c r="AO515" i="27"/>
  <c r="AO514" i="27"/>
  <c r="AO513" i="27"/>
  <c r="AO512" i="27"/>
  <c r="AO511" i="27"/>
  <c r="AO510" i="27"/>
  <c r="AO509" i="27"/>
  <c r="AO508" i="27"/>
  <c r="AO507" i="27"/>
  <c r="AO506" i="27"/>
  <c r="AO503" i="27"/>
  <c r="T46" i="31"/>
  <c r="T45" i="31"/>
  <c r="T44" i="31" l="1"/>
  <c r="X20" i="29"/>
  <c r="AO149" i="27"/>
  <c r="T35" i="31"/>
  <c r="AO70" i="27"/>
  <c r="T33" i="31" s="1"/>
  <c r="AO72" i="27"/>
  <c r="AO109" i="27"/>
  <c r="AO464" i="27" s="1"/>
  <c r="AO563" i="27"/>
  <c r="AO246" i="27"/>
  <c r="AO74" i="27"/>
  <c r="AO135" i="27"/>
  <c r="AO158" i="27"/>
  <c r="AO494" i="27"/>
  <c r="AO96" i="27"/>
  <c r="AO56" i="27"/>
  <c r="AO58" i="27" s="1"/>
  <c r="AO46" i="27"/>
  <c r="AO441" i="27" s="1"/>
  <c r="AO59" i="27" l="1"/>
  <c r="K8" i="67" s="1"/>
  <c r="K7" i="67"/>
  <c r="X35" i="29"/>
  <c r="Y35" i="29" s="1"/>
  <c r="T16" i="31"/>
  <c r="U16" i="31" s="1"/>
  <c r="U6" i="31" s="1"/>
  <c r="T51" i="31"/>
  <c r="U14" i="31" s="1"/>
  <c r="X22" i="29"/>
  <c r="X29" i="29" s="1"/>
  <c r="AO525" i="27"/>
  <c r="AO170" i="27"/>
  <c r="AO524" i="27"/>
  <c r="AO560" i="27"/>
  <c r="AO564" i="27"/>
  <c r="AO497" i="27"/>
  <c r="AO498" i="27"/>
  <c r="K13" i="67" l="1"/>
  <c r="K14" i="67"/>
  <c r="X41" i="29"/>
  <c r="T53" i="31"/>
  <c r="AN103" i="27" l="1"/>
  <c r="AN101" i="27"/>
  <c r="AW42" i="32"/>
  <c r="AW45" i="32"/>
  <c r="AW41" i="32" l="1"/>
  <c r="D52" i="38" l="1"/>
  <c r="E52" i="38"/>
  <c r="F52" i="38"/>
  <c r="G52" i="38"/>
  <c r="H52" i="38"/>
  <c r="I52" i="38"/>
  <c r="J52" i="38"/>
  <c r="K52" i="38"/>
  <c r="C52" i="38"/>
  <c r="X198" i="27"/>
  <c r="C53" i="38" s="1"/>
  <c r="D47" i="38"/>
  <c r="E47" i="38"/>
  <c r="F47" i="38"/>
  <c r="G47" i="38"/>
  <c r="H47" i="38"/>
  <c r="I47" i="38"/>
  <c r="J47" i="38"/>
  <c r="K47" i="38"/>
  <c r="C47" i="38"/>
  <c r="D46" i="38"/>
  <c r="E46" i="38"/>
  <c r="F46" i="38"/>
  <c r="G46" i="38"/>
  <c r="H46" i="38"/>
  <c r="I46" i="38"/>
  <c r="J46" i="38"/>
  <c r="K46" i="38"/>
  <c r="C46" i="38"/>
  <c r="D45" i="38"/>
  <c r="E45" i="38"/>
  <c r="F45" i="38"/>
  <c r="G45" i="38"/>
  <c r="H45" i="38"/>
  <c r="I45" i="38"/>
  <c r="J45" i="38"/>
  <c r="K45" i="38"/>
  <c r="C45" i="38"/>
  <c r="D44" i="38"/>
  <c r="E44" i="38"/>
  <c r="F44" i="38"/>
  <c r="G44" i="38"/>
  <c r="H44" i="38"/>
  <c r="I44" i="38"/>
  <c r="J44" i="38"/>
  <c r="K44" i="38"/>
  <c r="C44" i="38"/>
  <c r="I49" i="38" l="1"/>
  <c r="H49" i="38"/>
  <c r="J49" i="38"/>
  <c r="G50" i="38"/>
  <c r="K49" i="38"/>
  <c r="K50" i="38"/>
  <c r="I50" i="38"/>
  <c r="H48" i="38"/>
  <c r="F48" i="38"/>
  <c r="J50" i="38"/>
  <c r="E48" i="38"/>
  <c r="D48" i="38"/>
  <c r="H50" i="38"/>
  <c r="F50" i="38"/>
  <c r="C48" i="38"/>
  <c r="K48" i="38"/>
  <c r="J48" i="38"/>
  <c r="I48" i="38"/>
  <c r="E50" i="38"/>
  <c r="D50" i="38"/>
  <c r="F49" i="38"/>
  <c r="G48" i="38"/>
  <c r="G49" i="38"/>
  <c r="E49" i="38"/>
  <c r="D49" i="38"/>
  <c r="C49" i="38"/>
  <c r="C50" i="38"/>
  <c r="AN24" i="38" l="1"/>
  <c r="AN25" i="38"/>
  <c r="AN26" i="38"/>
  <c r="AN4" i="38"/>
  <c r="AR568" i="27" l="1"/>
  <c r="AN223" i="27"/>
  <c r="AN230" i="27" s="1"/>
  <c r="AN151" i="27"/>
  <c r="AN160" i="27"/>
  <c r="AN161" i="27"/>
  <c r="AN162" i="27"/>
  <c r="AN75" i="27"/>
  <c r="AN68" i="27" l="1"/>
  <c r="S36" i="31" s="1"/>
  <c r="AL425" i="27" l="1"/>
  <c r="K45" i="29"/>
  <c r="L45" i="29"/>
  <c r="M45" i="29"/>
  <c r="N45" i="29"/>
  <c r="O45" i="29"/>
  <c r="K46" i="29"/>
  <c r="L46" i="29"/>
  <c r="M46" i="29"/>
  <c r="N46" i="29"/>
  <c r="O46" i="29"/>
  <c r="K47" i="29"/>
  <c r="L47" i="29"/>
  <c r="M47" i="29"/>
  <c r="N47" i="29"/>
  <c r="O47" i="29"/>
  <c r="G30" i="29"/>
  <c r="H30" i="29"/>
  <c r="I30" i="29"/>
  <c r="J30" i="29"/>
  <c r="K30" i="29"/>
  <c r="L30" i="29"/>
  <c r="M30" i="29"/>
  <c r="N30" i="29"/>
  <c r="O30" i="29"/>
  <c r="N22" i="29"/>
  <c r="N29" i="29" s="1"/>
  <c r="P72" i="30"/>
  <c r="P71" i="30"/>
  <c r="P69" i="30"/>
  <c r="P70" i="30"/>
  <c r="AP25" i="31" l="1"/>
  <c r="AP4" i="31"/>
  <c r="AT51" i="32"/>
  <c r="AF51" i="32"/>
  <c r="AU51" i="32"/>
  <c r="AN51" i="32"/>
  <c r="S50" i="32"/>
  <c r="S47" i="32"/>
  <c r="S44" i="32"/>
  <c r="S43" i="32"/>
  <c r="AP4" i="32"/>
  <c r="AP568" i="27"/>
  <c r="V47" i="29"/>
  <c r="V46" i="29"/>
  <c r="AM103" i="27"/>
  <c r="AM102" i="27"/>
  <c r="AM101" i="27"/>
  <c r="AM448" i="27"/>
  <c r="AM447" i="27"/>
  <c r="AN443" i="27"/>
  <c r="AN444" i="27"/>
  <c r="AN445" i="27"/>
  <c r="AN447" i="27"/>
  <c r="AN448" i="27"/>
  <c r="AM449" i="27"/>
  <c r="AN449" i="27"/>
  <c r="AN462" i="27"/>
  <c r="AN463" i="27"/>
  <c r="AP21" i="31" l="1"/>
  <c r="AM320" i="27"/>
  <c r="BB39" i="29"/>
  <c r="BB38" i="29"/>
  <c r="AM445" i="27"/>
  <c r="AM453" i="27" s="1"/>
  <c r="V45" i="29"/>
  <c r="AM461" i="27"/>
  <c r="AT37" i="29" s="1"/>
  <c r="AP18" i="31"/>
  <c r="AP45" i="32"/>
  <c r="S45" i="32" s="1"/>
  <c r="S46" i="32"/>
  <c r="AP51" i="32"/>
  <c r="AM462" i="27"/>
  <c r="AT38" i="29" s="1"/>
  <c r="AM324" i="27"/>
  <c r="AM463" i="27"/>
  <c r="AT39" i="29" s="1"/>
  <c r="AM444" i="27"/>
  <c r="AM452" i="27" s="1"/>
  <c r="AN451" i="27"/>
  <c r="AN456" i="27" s="1"/>
  <c r="BB14" i="29" s="1"/>
  <c r="AN452" i="27"/>
  <c r="AN453" i="27"/>
  <c r="AP42" i="32"/>
  <c r="AM443" i="27"/>
  <c r="AM451" i="27" s="1"/>
  <c r="AM456" i="27" s="1"/>
  <c r="AT14" i="29" s="1"/>
  <c r="AM425" i="27"/>
  <c r="AM371" i="27"/>
  <c r="AM325" i="27"/>
  <c r="S37" i="30"/>
  <c r="S46" i="30" s="1"/>
  <c r="S32" i="30"/>
  <c r="S45" i="30" l="1"/>
  <c r="W39" i="29"/>
  <c r="W38" i="29"/>
  <c r="AP41" i="32"/>
  <c r="S41" i="32" s="1"/>
  <c r="S42" i="32"/>
  <c r="AN458" i="27"/>
  <c r="BB16" i="29" s="1"/>
  <c r="AN457" i="27"/>
  <c r="AM458" i="27"/>
  <c r="AT16" i="29" s="1"/>
  <c r="AM457" i="27"/>
  <c r="AM427" i="27"/>
  <c r="W16" i="29" l="1"/>
  <c r="AM459" i="27"/>
  <c r="AT15" i="29"/>
  <c r="AN459" i="27"/>
  <c r="BB15" i="29"/>
  <c r="W14" i="29"/>
  <c r="W15" i="29" l="1"/>
  <c r="AP40" i="32"/>
  <c r="AM223" i="27" l="1"/>
  <c r="AM151" i="27"/>
  <c r="AM160" i="27"/>
  <c r="AM161" i="27"/>
  <c r="AM162" i="27"/>
  <c r="AM163" i="27"/>
  <c r="AM152" i="27"/>
  <c r="AM156" i="27"/>
  <c r="AM155" i="27" s="1"/>
  <c r="AM153" i="27"/>
  <c r="AM150" i="27"/>
  <c r="R37" i="30"/>
  <c r="R46" i="30" s="1"/>
  <c r="R32" i="30"/>
  <c r="R45" i="30" s="1"/>
  <c r="R43" i="31"/>
  <c r="R42" i="31"/>
  <c r="R41" i="31"/>
  <c r="AM149" i="27" l="1"/>
  <c r="R50" i="31"/>
  <c r="AM303" i="27"/>
  <c r="AM230" i="27"/>
  <c r="AM159" i="27"/>
  <c r="AM166" i="27"/>
  <c r="AM249" i="27"/>
  <c r="AM248" i="27"/>
  <c r="AM310" i="27"/>
  <c r="AM238" i="27"/>
  <c r="R37" i="31" s="1"/>
  <c r="R49" i="31" s="1"/>
  <c r="AM135" i="27"/>
  <c r="AM109" i="27"/>
  <c r="AM464" i="27" s="1"/>
  <c r="AM96" i="27"/>
  <c r="AP16" i="31" s="1"/>
  <c r="AM87" i="27"/>
  <c r="AM243" i="27"/>
  <c r="R40" i="31" s="1"/>
  <c r="AN18" i="38" l="1"/>
  <c r="AM178" i="27"/>
  <c r="AM158" i="27"/>
  <c r="AM170" i="27" s="1"/>
  <c r="AM524" i="27"/>
  <c r="AT35" i="29"/>
  <c r="AM525" i="27"/>
  <c r="AM245" i="27"/>
  <c r="AM99" i="27"/>
  <c r="AM538" i="27" s="1"/>
  <c r="AM106" i="27" l="1"/>
  <c r="AT12" i="29"/>
  <c r="AM130" i="27"/>
  <c r="AM141" i="27" l="1"/>
  <c r="AM431" i="27" s="1"/>
  <c r="AM539" i="27"/>
  <c r="AM527" i="27"/>
  <c r="AM526" i="27"/>
  <c r="AM536" i="27"/>
  <c r="AM535" i="27"/>
  <c r="AT41" i="29"/>
  <c r="AM143" i="27" l="1"/>
  <c r="AM176" i="27"/>
  <c r="AM68" i="27"/>
  <c r="R36" i="31" s="1"/>
  <c r="R46" i="31"/>
  <c r="R45" i="31"/>
  <c r="R44" i="31"/>
  <c r="V26" i="29"/>
  <c r="V20" i="29" l="1"/>
  <c r="AM70" i="27"/>
  <c r="AM175" i="27"/>
  <c r="R33" i="31"/>
  <c r="R35" i="31"/>
  <c r="R51" i="31" s="1"/>
  <c r="AM494" i="27"/>
  <c r="AM529" i="27"/>
  <c r="AM530" i="27"/>
  <c r="AM246" i="27"/>
  <c r="AM563" i="27"/>
  <c r="R27" i="32"/>
  <c r="R57" i="30"/>
  <c r="R28" i="32"/>
  <c r="AP28" i="32" s="1"/>
  <c r="R58" i="30"/>
  <c r="R29" i="32"/>
  <c r="AP29" i="32" s="1"/>
  <c r="R30" i="32"/>
  <c r="R59" i="30"/>
  <c r="AM74" i="27"/>
  <c r="R56" i="30"/>
  <c r="AM35" i="27"/>
  <c r="AM72" i="27"/>
  <c r="AM308" i="27"/>
  <c r="AM56" i="27"/>
  <c r="AM58" i="27" s="1"/>
  <c r="AM59" i="27" s="1"/>
  <c r="AM46" i="27"/>
  <c r="AM436" i="27" l="1"/>
  <c r="V22" i="29"/>
  <c r="AM497" i="27"/>
  <c r="AM441" i="27"/>
  <c r="AP30" i="32"/>
  <c r="AP27" i="32"/>
  <c r="R53" i="31"/>
  <c r="AM331" i="27"/>
  <c r="V44" i="29"/>
  <c r="AM496" i="27"/>
  <c r="AM493" i="27"/>
  <c r="AM556" i="27"/>
  <c r="AM495" i="27"/>
  <c r="AM564" i="27"/>
  <c r="AM560" i="27"/>
  <c r="AM61" i="27"/>
  <c r="V25" i="29" l="1"/>
  <c r="V30" i="29" l="1"/>
  <c r="AM312" i="27"/>
  <c r="AM314" i="27" s="1"/>
  <c r="AM315" i="27" s="1"/>
  <c r="R76" i="30"/>
  <c r="R32" i="32" l="1"/>
  <c r="AP32" i="32" s="1"/>
  <c r="R61" i="30"/>
  <c r="R47" i="38"/>
  <c r="R22" i="32" l="1"/>
  <c r="AM510" i="27"/>
  <c r="R54" i="30"/>
  <c r="R46" i="38"/>
  <c r="R49" i="38" s="1"/>
  <c r="R21" i="32" l="1"/>
  <c r="AM512" i="27"/>
  <c r="AM509" i="27"/>
  <c r="AP22" i="32"/>
  <c r="R53" i="30"/>
  <c r="R15" i="30" s="1"/>
  <c r="AM189" i="27"/>
  <c r="R11" i="30"/>
  <c r="R16" i="30"/>
  <c r="R44" i="38"/>
  <c r="R10" i="30" l="1"/>
  <c r="R19" i="32"/>
  <c r="AM507" i="27"/>
  <c r="AP21" i="32"/>
  <c r="R24" i="32"/>
  <c r="R51" i="30"/>
  <c r="R13" i="30" s="1"/>
  <c r="R8" i="30" l="1"/>
  <c r="AP24" i="32"/>
  <c r="AP19" i="32"/>
  <c r="R45" i="38"/>
  <c r="R50" i="38" l="1"/>
  <c r="R48" i="38"/>
  <c r="R20" i="32"/>
  <c r="AM508" i="27"/>
  <c r="AM511" i="27"/>
  <c r="R52" i="30"/>
  <c r="R14" i="30" s="1"/>
  <c r="AM190" i="27"/>
  <c r="AM188" i="27"/>
  <c r="R9" i="30" l="1"/>
  <c r="AM506" i="27"/>
  <c r="R50" i="30"/>
  <c r="R12" i="30" s="1"/>
  <c r="AP20" i="32"/>
  <c r="R25" i="32"/>
  <c r="R23" i="32"/>
  <c r="R7" i="30" l="1"/>
  <c r="R6" i="30" s="1"/>
  <c r="AP25" i="32"/>
  <c r="AP23" i="32"/>
  <c r="R52" i="38" l="1"/>
  <c r="R31" i="32"/>
  <c r="AM521" i="27"/>
  <c r="R60" i="30"/>
  <c r="R18" i="30" s="1"/>
  <c r="AM198" i="27"/>
  <c r="AM200" i="27"/>
  <c r="R17" i="30" l="1"/>
  <c r="R62" i="30"/>
  <c r="R64" i="30" s="1"/>
  <c r="R20" i="30" s="1"/>
  <c r="AM555" i="27"/>
  <c r="R53" i="38"/>
  <c r="AP31" i="32"/>
  <c r="R34" i="32"/>
  <c r="R33" i="32"/>
  <c r="AM199" i="27"/>
  <c r="R19" i="30" l="1"/>
  <c r="AP34" i="32"/>
  <c r="AP33" i="32"/>
  <c r="R36" i="32"/>
  <c r="AM554" i="27"/>
  <c r="AM502" i="27"/>
  <c r="R20" i="31"/>
  <c r="R10" i="31" s="1"/>
  <c r="AP36" i="32" l="1"/>
  <c r="R50" i="32"/>
  <c r="R47" i="32"/>
  <c r="R46" i="32"/>
  <c r="R44" i="32"/>
  <c r="AH42" i="32" l="1"/>
  <c r="R42" i="32" s="1"/>
  <c r="R43" i="32"/>
  <c r="Q32" i="30"/>
  <c r="AH45" i="32"/>
  <c r="Q37" i="30"/>
  <c r="Q45" i="30" l="1"/>
  <c r="AH41" i="32"/>
  <c r="R41" i="32" s="1"/>
  <c r="R45" i="32"/>
  <c r="Q46" i="30" l="1"/>
  <c r="U47" i="29" l="1"/>
  <c r="U46" i="29"/>
  <c r="U45" i="29"/>
  <c r="AL223" i="27"/>
  <c r="AL230" i="27" s="1"/>
  <c r="Q70" i="30"/>
  <c r="Q24" i="30" s="1"/>
  <c r="Q71" i="30"/>
  <c r="Q25" i="30" s="1"/>
  <c r="AL151" i="27"/>
  <c r="AL160" i="27"/>
  <c r="AL161" i="27"/>
  <c r="AL162" i="27"/>
  <c r="AL68" i="27"/>
  <c r="Q36" i="31" s="1"/>
  <c r="AL514" i="27" l="1"/>
  <c r="Q69" i="30"/>
  <c r="Q23" i="30" s="1"/>
  <c r="AL517" i="27"/>
  <c r="Q72" i="30"/>
  <c r="Q26" i="30" s="1"/>
  <c r="AL519" i="27"/>
  <c r="AL324" i="27"/>
  <c r="AL320" i="27"/>
  <c r="AL325" i="27" s="1"/>
  <c r="AL515" i="27"/>
  <c r="AL516" i="27"/>
  <c r="AL518" i="27"/>
  <c r="AL202" i="27"/>
  <c r="AL513" i="27" l="1"/>
  <c r="Q68" i="30"/>
  <c r="Q22" i="30" s="1"/>
  <c r="Q50" i="32" l="1"/>
  <c r="P37" i="30"/>
  <c r="P46" i="30" s="1"/>
  <c r="P32" i="30"/>
  <c r="P45" i="30" s="1"/>
  <c r="P23" i="30"/>
  <c r="P24" i="30"/>
  <c r="P25" i="30"/>
  <c r="P26" i="30"/>
  <c r="AO568" i="27"/>
  <c r="Q20" i="31"/>
  <c r="Q10" i="31" s="1"/>
  <c r="T45" i="29"/>
  <c r="T46" i="29"/>
  <c r="T47" i="29"/>
  <c r="AK101" i="27"/>
  <c r="AK102" i="27"/>
  <c r="AK103" i="27"/>
  <c r="P76" i="30"/>
  <c r="AK371" i="27"/>
  <c r="AK425" i="27"/>
  <c r="AK443" i="27"/>
  <c r="AK444" i="27"/>
  <c r="AK445" i="27"/>
  <c r="AK447" i="27"/>
  <c r="AK448" i="27"/>
  <c r="AK449" i="27"/>
  <c r="AK461" i="27"/>
  <c r="T37" i="29" s="1"/>
  <c r="AK462" i="27"/>
  <c r="T38" i="29" s="1"/>
  <c r="AK463" i="27"/>
  <c r="T39" i="29" s="1"/>
  <c r="AK303" i="27"/>
  <c r="P43" i="31"/>
  <c r="P42" i="31"/>
  <c r="P41" i="31"/>
  <c r="P58" i="30"/>
  <c r="T25" i="29"/>
  <c r="P45" i="38"/>
  <c r="P44" i="38"/>
  <c r="P46" i="38"/>
  <c r="AK151" i="27"/>
  <c r="AK160" i="27"/>
  <c r="AK161" i="27"/>
  <c r="AK162" i="27"/>
  <c r="AK163" i="27"/>
  <c r="AK152" i="27"/>
  <c r="AK156" i="27"/>
  <c r="AK155" i="27" s="1"/>
  <c r="AK153" i="27"/>
  <c r="AK150" i="27"/>
  <c r="P30" i="31"/>
  <c r="P27" i="31"/>
  <c r="P29" i="31"/>
  <c r="P46" i="31"/>
  <c r="P45" i="31"/>
  <c r="P44" i="31"/>
  <c r="AK563" i="27"/>
  <c r="T26" i="29" l="1"/>
  <c r="P21" i="31"/>
  <c r="T20" i="29"/>
  <c r="P50" i="31"/>
  <c r="AK149" i="27"/>
  <c r="P25" i="31"/>
  <c r="P35" i="31"/>
  <c r="AK70" i="27"/>
  <c r="P51" i="32"/>
  <c r="AK320" i="27"/>
  <c r="AK325" i="27" s="1"/>
  <c r="AK324" i="27"/>
  <c r="P52" i="38"/>
  <c r="P31" i="32"/>
  <c r="P22" i="32"/>
  <c r="P47" i="38"/>
  <c r="P48" i="38" s="1"/>
  <c r="P50" i="38"/>
  <c r="AK452" i="27"/>
  <c r="AK457" i="27" s="1"/>
  <c r="T15" i="29" s="1"/>
  <c r="AK159" i="27"/>
  <c r="AK166" i="27"/>
  <c r="AK453" i="27"/>
  <c r="AK458" i="27" s="1"/>
  <c r="T16" i="29" s="1"/>
  <c r="AK427" i="27"/>
  <c r="AK451" i="27"/>
  <c r="AK456" i="27" s="1"/>
  <c r="T14" i="29" s="1"/>
  <c r="AK515" i="27"/>
  <c r="AK516" i="27"/>
  <c r="AK529" i="27"/>
  <c r="AK213" i="27"/>
  <c r="AK190" i="27"/>
  <c r="AK310" i="27"/>
  <c r="AK507" i="27"/>
  <c r="P18" i="31"/>
  <c r="AK521" i="27"/>
  <c r="P27" i="32"/>
  <c r="P19" i="32"/>
  <c r="AK238" i="27"/>
  <c r="P37" i="31" s="1"/>
  <c r="P49" i="31" s="1"/>
  <c r="AK494" i="27"/>
  <c r="AK510" i="27"/>
  <c r="AK512" i="27"/>
  <c r="P51" i="30"/>
  <c r="AK518" i="27"/>
  <c r="AK202" i="27"/>
  <c r="AK511" i="27"/>
  <c r="AK74" i="27"/>
  <c r="AK508" i="27"/>
  <c r="P29" i="32"/>
  <c r="AK519" i="27"/>
  <c r="P53" i="30"/>
  <c r="P28" i="32"/>
  <c r="P52" i="30"/>
  <c r="AK509" i="27"/>
  <c r="AK72" i="27"/>
  <c r="AK249" i="27"/>
  <c r="AK530" i="27"/>
  <c r="P61" i="30"/>
  <c r="AK215" i="27"/>
  <c r="P60" i="30"/>
  <c r="AK189" i="27"/>
  <c r="P59" i="30"/>
  <c r="P20" i="32"/>
  <c r="AK514" i="27"/>
  <c r="AK312" i="27"/>
  <c r="P57" i="30"/>
  <c r="P56" i="30"/>
  <c r="P32" i="32"/>
  <c r="T30" i="29"/>
  <c r="P21" i="32"/>
  <c r="AK517" i="27"/>
  <c r="P30" i="32"/>
  <c r="AK68" i="27"/>
  <c r="P36" i="31" s="1"/>
  <c r="P54" i="30"/>
  <c r="P11" i="30" s="1"/>
  <c r="AK135" i="27"/>
  <c r="AK223" i="27"/>
  <c r="AK230" i="27" s="1"/>
  <c r="AK216" i="27"/>
  <c r="AK243" i="27"/>
  <c r="P40" i="31" s="1"/>
  <c r="AK248" i="27"/>
  <c r="AK214" i="27"/>
  <c r="AK198" i="27"/>
  <c r="P53" i="38" s="1"/>
  <c r="AK188" i="27"/>
  <c r="AK109" i="27"/>
  <c r="AK464" i="27" s="1"/>
  <c r="AK96" i="27"/>
  <c r="AK87" i="27"/>
  <c r="AK56" i="27"/>
  <c r="AK58" i="27" s="1"/>
  <c r="AK59" i="27" s="1"/>
  <c r="AK46" i="27"/>
  <c r="AK35" i="27"/>
  <c r="AK436" i="27" s="1"/>
  <c r="P51" i="31" l="1"/>
  <c r="P18" i="38"/>
  <c r="AK178" i="27"/>
  <c r="AK459" i="27"/>
  <c r="AK200" i="27"/>
  <c r="AK497" i="27"/>
  <c r="AK441" i="27"/>
  <c r="T35" i="29"/>
  <c r="AK158" i="27"/>
  <c r="AK170" i="27" s="1"/>
  <c r="P49" i="38"/>
  <c r="AK308" i="27"/>
  <c r="AK496" i="27"/>
  <c r="T22" i="29"/>
  <c r="P24" i="32"/>
  <c r="P34" i="32"/>
  <c r="P25" i="32"/>
  <c r="P23" i="32"/>
  <c r="P8" i="30"/>
  <c r="P13" i="30"/>
  <c r="P62" i="30"/>
  <c r="AK513" i="27"/>
  <c r="P68" i="30"/>
  <c r="P22" i="30" s="1"/>
  <c r="P15" i="30"/>
  <c r="P10" i="30"/>
  <c r="AK564" i="27"/>
  <c r="AK560" i="27"/>
  <c r="AK495" i="27"/>
  <c r="P33" i="32"/>
  <c r="AK212" i="27"/>
  <c r="T23" i="29" s="1"/>
  <c r="AK555" i="27"/>
  <c r="AK99" i="27"/>
  <c r="AK538" i="27" s="1"/>
  <c r="P16" i="31"/>
  <c r="AK245" i="27"/>
  <c r="AK246" i="27" s="1"/>
  <c r="AK499" i="27"/>
  <c r="AK498" i="27"/>
  <c r="P9" i="30"/>
  <c r="P14" i="30"/>
  <c r="P50" i="30"/>
  <c r="P16" i="30"/>
  <c r="AK506" i="27"/>
  <c r="P18" i="30"/>
  <c r="P17" i="30"/>
  <c r="AK331" i="27"/>
  <c r="AK556" i="27"/>
  <c r="T44" i="29"/>
  <c r="AK493" i="27"/>
  <c r="P33" i="31"/>
  <c r="AK524" i="27"/>
  <c r="AK525" i="27"/>
  <c r="AK199" i="27"/>
  <c r="AK61" i="27"/>
  <c r="AK502" i="27" l="1"/>
  <c r="T12" i="29"/>
  <c r="T41" i="29" s="1"/>
  <c r="P36" i="32"/>
  <c r="P7" i="30"/>
  <c r="P12" i="30"/>
  <c r="AK130" i="27"/>
  <c r="AK141" i="27" s="1"/>
  <c r="AK106" i="27"/>
  <c r="AK554" i="27"/>
  <c r="P64" i="30"/>
  <c r="P53" i="31"/>
  <c r="AK176" i="27" l="1"/>
  <c r="AK431" i="27"/>
  <c r="T28" i="29"/>
  <c r="P20" i="30"/>
  <c r="P19" i="30"/>
  <c r="AK526" i="27"/>
  <c r="AK539" i="27"/>
  <c r="AK535" i="27"/>
  <c r="AK536" i="27"/>
  <c r="AK527" i="27"/>
  <c r="P6" i="30"/>
  <c r="AK143" i="27" l="1"/>
  <c r="AK175" i="27" s="1"/>
  <c r="AA223" i="27" l="1"/>
  <c r="AA230" i="27" s="1"/>
  <c r="S223" i="27"/>
  <c r="Y223" i="27"/>
  <c r="AB223" i="27"/>
  <c r="AC223" i="27"/>
  <c r="AD223" i="27"/>
  <c r="AE223" i="27"/>
  <c r="R226" i="27"/>
  <c r="T226" i="27"/>
  <c r="V226" i="27"/>
  <c r="X226" i="27"/>
  <c r="Z226" i="27"/>
  <c r="N208" i="27" l="1"/>
  <c r="N207" i="27" s="1"/>
  <c r="L208" i="27"/>
  <c r="L207" i="27" s="1"/>
  <c r="L202" i="27"/>
  <c r="J208" i="27"/>
  <c r="J207" i="27" s="1"/>
  <c r="J202" i="27"/>
  <c r="N188" i="27"/>
  <c r="N212" i="27" s="1"/>
  <c r="L188" i="27"/>
  <c r="L212" i="27" s="1"/>
  <c r="F188" i="27"/>
  <c r="H188" i="27"/>
  <c r="J188" i="27"/>
  <c r="J212" i="27" l="1"/>
  <c r="AV45" i="32" l="1"/>
  <c r="AV42" i="32"/>
  <c r="AV41" i="32" l="1"/>
  <c r="P202" i="27" l="1"/>
  <c r="Q202" i="27"/>
  <c r="R202" i="27"/>
  <c r="S202" i="27"/>
  <c r="T202" i="27"/>
  <c r="U202" i="27"/>
  <c r="V202" i="27"/>
  <c r="W202" i="27"/>
  <c r="Y202" i="27"/>
  <c r="Z202" i="27"/>
  <c r="AA202" i="27"/>
  <c r="AB202" i="27"/>
  <c r="AC202" i="27"/>
  <c r="AD202" i="27"/>
  <c r="AE202" i="27"/>
  <c r="AD188" i="27"/>
  <c r="D188" i="27"/>
  <c r="P188" i="27"/>
  <c r="Q188" i="27"/>
  <c r="R188" i="27"/>
  <c r="S188" i="27"/>
  <c r="T188" i="27"/>
  <c r="U188" i="27"/>
  <c r="V188" i="27"/>
  <c r="W188" i="27"/>
  <c r="X188" i="27"/>
  <c r="Y188" i="27"/>
  <c r="Z188" i="27"/>
  <c r="AA188" i="27"/>
  <c r="AB188" i="27"/>
  <c r="AC188" i="27"/>
  <c r="AE188" i="27"/>
  <c r="L44" i="38"/>
  <c r="M44" i="38"/>
  <c r="L46" i="38"/>
  <c r="M46" i="38"/>
  <c r="AG151" i="27" l="1"/>
  <c r="AI151" i="27"/>
  <c r="AJ151" i="27"/>
  <c r="AG160" i="27"/>
  <c r="AI160" i="27"/>
  <c r="AJ160" i="27"/>
  <c r="AG161" i="27"/>
  <c r="AI161" i="27"/>
  <c r="AJ161" i="27"/>
  <c r="AG162" i="27"/>
  <c r="AI162" i="27"/>
  <c r="AJ162" i="27"/>
  <c r="AG163" i="27"/>
  <c r="AJ324" i="27" l="1"/>
  <c r="AJ320" i="27"/>
  <c r="AJ325" i="27" s="1"/>
  <c r="AB311" i="27" l="1"/>
  <c r="AB310" i="27"/>
  <c r="AB249" i="27" l="1"/>
  <c r="AB248" i="27"/>
  <c r="O47" i="32" l="1"/>
  <c r="O46" i="32"/>
  <c r="O44" i="32"/>
  <c r="O43" i="32" l="1"/>
  <c r="O42" i="32" s="1"/>
  <c r="AO42" i="32"/>
  <c r="O45" i="32"/>
  <c r="O41" i="32" l="1"/>
  <c r="AD313" i="27"/>
  <c r="AB443" i="27" l="1"/>
  <c r="AB150" i="27" l="1"/>
  <c r="AM568" i="27" l="1"/>
  <c r="AM24" i="38"/>
  <c r="AM25" i="38"/>
  <c r="AM26" i="38"/>
  <c r="AM4" i="38"/>
  <c r="AO45" i="32"/>
  <c r="AM19" i="32"/>
  <c r="AM20" i="32"/>
  <c r="AM21" i="32"/>
  <c r="AM22" i="32"/>
  <c r="AM27" i="32"/>
  <c r="AM28" i="32"/>
  <c r="AM29" i="32"/>
  <c r="AM30" i="32"/>
  <c r="AM31" i="32"/>
  <c r="AM32" i="32"/>
  <c r="AT19" i="32"/>
  <c r="AT20" i="32"/>
  <c r="AT21" i="32"/>
  <c r="AT22" i="32"/>
  <c r="AT27" i="32"/>
  <c r="AT28" i="32"/>
  <c r="AT29" i="32"/>
  <c r="AT30" i="32"/>
  <c r="AT31" i="32"/>
  <c r="AT32" i="32"/>
  <c r="AO4" i="32"/>
  <c r="AO4" i="31"/>
  <c r="AT23" i="32" l="1"/>
  <c r="AM23" i="32"/>
  <c r="AO41" i="32"/>
  <c r="AS4" i="29" l="1"/>
  <c r="AI68" i="27" l="1"/>
  <c r="N36" i="31" s="1"/>
  <c r="AD248" i="27" l="1"/>
  <c r="AD249" i="27"/>
  <c r="N50" i="32" l="1"/>
  <c r="N47" i="32"/>
  <c r="N46" i="32"/>
  <c r="N43" i="32"/>
  <c r="N45" i="32" l="1"/>
  <c r="N44" i="32"/>
  <c r="N42" i="32" s="1"/>
  <c r="N41" i="32" l="1"/>
  <c r="AG51" i="32" l="1"/>
  <c r="Q47" i="29" l="1"/>
  <c r="Q46" i="29"/>
  <c r="Q45" i="29"/>
  <c r="M47" i="38" l="1"/>
  <c r="M49" i="38" s="1"/>
  <c r="M45" i="38"/>
  <c r="M50" i="38" l="1"/>
  <c r="M48" i="38"/>
  <c r="AH188" i="27"/>
  <c r="AH215" i="27" l="1"/>
  <c r="I26" i="30"/>
  <c r="I25" i="30"/>
  <c r="M43" i="31" l="1"/>
  <c r="AG45" i="32"/>
  <c r="AF45" i="32"/>
  <c r="AG42" i="32"/>
  <c r="M46" i="30"/>
  <c r="M32" i="30"/>
  <c r="M45" i="30" s="1"/>
  <c r="M23" i="30"/>
  <c r="M24" i="30"/>
  <c r="M25" i="30"/>
  <c r="M26" i="30"/>
  <c r="AG41" i="32" l="1"/>
  <c r="AH425" i="27"/>
  <c r="AH371" i="27"/>
  <c r="AH443" i="27"/>
  <c r="AH444" i="27"/>
  <c r="AH445" i="27"/>
  <c r="AH447" i="27"/>
  <c r="AH448" i="27"/>
  <c r="AH449" i="27"/>
  <c r="AH461" i="27"/>
  <c r="AH462" i="27"/>
  <c r="AK38" i="29" s="1"/>
  <c r="AH463" i="27"/>
  <c r="AK39" i="29" s="1"/>
  <c r="AK37" i="29" l="1"/>
  <c r="AH464" i="27"/>
  <c r="AH452" i="27"/>
  <c r="AG40" i="32"/>
  <c r="AH451" i="27"/>
  <c r="AH456" i="27" s="1"/>
  <c r="AH453" i="27"/>
  <c r="AH458" i="27" s="1"/>
  <c r="AK16" i="29" s="1"/>
  <c r="AH427" i="27"/>
  <c r="AH431" i="27" s="1"/>
  <c r="AH324" i="27"/>
  <c r="AH320" i="27"/>
  <c r="AH325" i="27" s="1"/>
  <c r="AK14" i="29" l="1"/>
  <c r="AH457" i="27"/>
  <c r="AK15" i="29" s="1"/>
  <c r="AH459" i="27" l="1"/>
  <c r="AH223" i="27"/>
  <c r="AH230" i="27" l="1"/>
  <c r="AH516" i="27" l="1"/>
  <c r="AH517" i="27" l="1"/>
  <c r="AH519" i="27"/>
  <c r="AH514" i="27" l="1"/>
  <c r="AH68" i="27" l="1"/>
  <c r="M36" i="31" s="1"/>
  <c r="K26" i="31" l="1"/>
  <c r="L30" i="31"/>
  <c r="L27" i="31"/>
  <c r="L43" i="31" l="1"/>
  <c r="C50" i="31" l="1"/>
  <c r="AN18" i="31"/>
  <c r="H18" i="31" l="1"/>
  <c r="AL25" i="38" l="1"/>
  <c r="AL24" i="38" l="1"/>
  <c r="AL26" i="38"/>
  <c r="AL4" i="38"/>
  <c r="H22" i="30" l="1"/>
  <c r="H27" i="30"/>
  <c r="H46" i="30"/>
  <c r="H23" i="30"/>
  <c r="H24" i="30" l="1"/>
  <c r="H25" i="30"/>
  <c r="H26" i="30"/>
  <c r="R248" i="27" l="1"/>
  <c r="S248" i="27"/>
  <c r="T248" i="27"/>
  <c r="U248" i="27"/>
  <c r="V248" i="27"/>
  <c r="W248" i="27"/>
  <c r="X248" i="27"/>
  <c r="Y248" i="27"/>
  <c r="Z248" i="27"/>
  <c r="AA248" i="27"/>
  <c r="P47" i="29" l="1"/>
  <c r="P46" i="29"/>
  <c r="P45" i="29"/>
  <c r="AG103" i="27"/>
  <c r="AG101" i="27"/>
  <c r="AG430" i="27" l="1"/>
  <c r="AG371" i="27"/>
  <c r="AG102" i="27" l="1"/>
  <c r="AG425" i="27"/>
  <c r="AK568" i="27" l="1"/>
  <c r="M50" i="32"/>
  <c r="M46" i="32" l="1"/>
  <c r="M44" i="32"/>
  <c r="M43" i="32"/>
  <c r="L46" i="30"/>
  <c r="L24" i="30"/>
  <c r="L32" i="30"/>
  <c r="L25" i="30"/>
  <c r="L23" i="30"/>
  <c r="AG159" i="27"/>
  <c r="AG152" i="27"/>
  <c r="AG156" i="27"/>
  <c r="AG155" i="27" s="1"/>
  <c r="AG153" i="27"/>
  <c r="AG150" i="27"/>
  <c r="AG149" i="27" l="1"/>
  <c r="AG223" i="27"/>
  <c r="AG166" i="27"/>
  <c r="AG158" i="27" s="1"/>
  <c r="AG170" i="27" s="1"/>
  <c r="AG248" i="27"/>
  <c r="M42" i="32"/>
  <c r="M47" i="32"/>
  <c r="L29" i="31"/>
  <c r="L25" i="31" s="1"/>
  <c r="AG135" i="27"/>
  <c r="L42" i="31"/>
  <c r="L41" i="31"/>
  <c r="L45" i="32"/>
  <c r="AG68" i="27"/>
  <c r="L36" i="31" s="1"/>
  <c r="L76" i="30"/>
  <c r="L42" i="32"/>
  <c r="L45" i="30"/>
  <c r="L26" i="30"/>
  <c r="L50" i="31" l="1"/>
  <c r="M45" i="32"/>
  <c r="L41" i="32"/>
  <c r="M41" i="32" l="1"/>
  <c r="AG109" i="27"/>
  <c r="AG96" i="27"/>
  <c r="L16" i="31" s="1"/>
  <c r="M16" i="31" s="1"/>
  <c r="L46" i="31"/>
  <c r="L45" i="31"/>
  <c r="L44" i="31"/>
  <c r="AG563" i="27"/>
  <c r="AG428" i="27"/>
  <c r="AG429" i="27"/>
  <c r="AG443" i="27"/>
  <c r="AG444" i="27"/>
  <c r="AG445" i="27"/>
  <c r="AG447" i="27"/>
  <c r="AG448" i="27"/>
  <c r="AG449" i="27"/>
  <c r="AG461" i="27"/>
  <c r="AG462" i="27"/>
  <c r="P38" i="29" s="1"/>
  <c r="Q38" i="29" s="1"/>
  <c r="AG463" i="27"/>
  <c r="P39" i="29" s="1"/>
  <c r="Q39" i="29" s="1"/>
  <c r="AG324" i="27"/>
  <c r="AG320" i="27"/>
  <c r="AG325" i="27" s="1"/>
  <c r="AG243" i="27"/>
  <c r="AG249" i="27"/>
  <c r="AG238" i="27"/>
  <c r="L37" i="31" s="1"/>
  <c r="L49" i="31" s="1"/>
  <c r="L52" i="38"/>
  <c r="L45" i="38"/>
  <c r="L47" i="38"/>
  <c r="L49" i="38" s="1"/>
  <c r="AG464" i="27" l="1"/>
  <c r="L50" i="38"/>
  <c r="L48" i="38"/>
  <c r="AG188" i="27"/>
  <c r="AG451" i="27"/>
  <c r="AG456" i="27" s="1"/>
  <c r="L40" i="31"/>
  <c r="AG452" i="27"/>
  <c r="AG457" i="27" s="1"/>
  <c r="P15" i="29" s="1"/>
  <c r="P35" i="29"/>
  <c r="P37" i="29"/>
  <c r="Q37" i="29" s="1"/>
  <c r="AG453" i="27"/>
  <c r="AG458" i="27" s="1"/>
  <c r="P16" i="29" s="1"/>
  <c r="L51" i="30"/>
  <c r="AG509" i="27"/>
  <c r="L53" i="30"/>
  <c r="L31" i="32"/>
  <c r="L60" i="30"/>
  <c r="AG72" i="27"/>
  <c r="AG510" i="27"/>
  <c r="L54" i="30"/>
  <c r="L32" i="32"/>
  <c r="L61" i="30"/>
  <c r="AG74" i="27"/>
  <c r="L52" i="30"/>
  <c r="AG521" i="27"/>
  <c r="L59" i="30"/>
  <c r="L35" i="31"/>
  <c r="L51" i="31" s="1"/>
  <c r="AG245" i="27"/>
  <c r="AG56" i="27"/>
  <c r="AG58" i="27" s="1"/>
  <c r="AG59" i="27" s="1"/>
  <c r="AG508" i="27"/>
  <c r="AG512" i="27"/>
  <c r="L21" i="32"/>
  <c r="L22" i="32"/>
  <c r="L30" i="32"/>
  <c r="L20" i="32"/>
  <c r="AG189" i="27"/>
  <c r="L19" i="32"/>
  <c r="AG190" i="27"/>
  <c r="AG427" i="27"/>
  <c r="AG507" i="27"/>
  <c r="AG511" i="27"/>
  <c r="AG230" i="27"/>
  <c r="AG524" i="27"/>
  <c r="AG525" i="27"/>
  <c r="AG46" i="27"/>
  <c r="AG441" i="27" s="1"/>
  <c r="AG494" i="27"/>
  <c r="P14" i="29" l="1"/>
  <c r="Q14" i="29" s="1"/>
  <c r="AG459" i="27"/>
  <c r="P22" i="29"/>
  <c r="L33" i="31"/>
  <c r="Q16" i="29"/>
  <c r="L17" i="30"/>
  <c r="L18" i="30"/>
  <c r="AG497" i="27"/>
  <c r="L34" i="32"/>
  <c r="AG564" i="27"/>
  <c r="AG560" i="27"/>
  <c r="AG246" i="27"/>
  <c r="L8" i="30"/>
  <c r="L13" i="30"/>
  <c r="L50" i="30"/>
  <c r="L14" i="30"/>
  <c r="L9" i="30"/>
  <c r="L11" i="30"/>
  <c r="L16" i="30"/>
  <c r="AG506" i="27"/>
  <c r="AG200" i="27"/>
  <c r="AG502" i="27" s="1"/>
  <c r="L10" i="30"/>
  <c r="L15" i="30"/>
  <c r="L24" i="32"/>
  <c r="L25" i="32"/>
  <c r="L23" i="32"/>
  <c r="Q15" i="29" l="1"/>
  <c r="Q12" i="29" s="1"/>
  <c r="P12" i="29"/>
  <c r="L53" i="31"/>
  <c r="L7" i="30"/>
  <c r="L12" i="30"/>
  <c r="AB312" i="27" l="1"/>
  <c r="C23" i="32" l="1"/>
  <c r="D23" i="32"/>
  <c r="E23" i="32"/>
  <c r="F23" i="32"/>
  <c r="G23" i="32"/>
  <c r="D499" i="27" l="1"/>
  <c r="E50" i="31" l="1"/>
  <c r="G50" i="31"/>
  <c r="F50" i="31"/>
  <c r="D50" i="31"/>
  <c r="AT11" i="31" s="1"/>
  <c r="AT12" i="31"/>
  <c r="AT13" i="31"/>
  <c r="AR13" i="38" l="1"/>
  <c r="AR26" i="38"/>
  <c r="AR11" i="38"/>
  <c r="AR14" i="38"/>
  <c r="AR10" i="38"/>
  <c r="AR24" i="38"/>
  <c r="AR25" i="38"/>
  <c r="G22" i="30" l="1"/>
  <c r="G26" i="30" l="1"/>
  <c r="G25" i="30"/>
  <c r="G24" i="30"/>
  <c r="G23" i="30"/>
  <c r="K26" i="30"/>
  <c r="K25" i="30"/>
  <c r="K24" i="30"/>
  <c r="K23" i="30"/>
  <c r="AT14" i="32"/>
  <c r="AT11" i="32"/>
  <c r="AT10" i="32"/>
  <c r="K46" i="30" l="1"/>
  <c r="G12" i="30"/>
  <c r="G46" i="30"/>
  <c r="AT13" i="32"/>
  <c r="AT42" i="32"/>
  <c r="AF223" i="27" l="1"/>
  <c r="AF202" i="27"/>
  <c r="AG568" i="27"/>
  <c r="AF68" i="27"/>
  <c r="K36" i="31" s="1"/>
  <c r="G51" i="30"/>
  <c r="G13" i="30" s="1"/>
  <c r="G52" i="30"/>
  <c r="G53" i="30"/>
  <c r="G54" i="30"/>
  <c r="K75" i="30"/>
  <c r="K27" i="30" s="1"/>
  <c r="K32" i="30"/>
  <c r="K45" i="30" s="1"/>
  <c r="G8" i="30" l="1"/>
  <c r="G10" i="30"/>
  <c r="G15" i="30"/>
  <c r="G9" i="30"/>
  <c r="G14" i="30"/>
  <c r="G11" i="30"/>
  <c r="G16" i="30"/>
  <c r="AT40" i="32"/>
  <c r="AU45" i="32"/>
  <c r="AT45" i="32"/>
  <c r="AU42" i="32"/>
  <c r="AF230" i="27"/>
  <c r="AT41" i="32" l="1"/>
  <c r="AU41" i="32"/>
  <c r="AF522" i="27" l="1"/>
  <c r="AF324" i="27"/>
  <c r="AF320" i="27"/>
  <c r="AF325" i="27" s="1"/>
  <c r="AF151" i="27"/>
  <c r="AF160" i="27"/>
  <c r="AF161" i="27"/>
  <c r="AF162" i="27"/>
  <c r="AB521" i="27" l="1"/>
  <c r="J24" i="30" l="1"/>
  <c r="C25" i="32" l="1"/>
  <c r="D25" i="32"/>
  <c r="E25" i="32"/>
  <c r="AB166" i="27" l="1"/>
  <c r="S521" i="27" l="1"/>
  <c r="U521" i="27"/>
  <c r="AA521" i="27"/>
  <c r="Z134" i="27" l="1"/>
  <c r="AB134" i="27"/>
  <c r="K43" i="32" l="1"/>
  <c r="K44" i="32"/>
  <c r="AE447" i="27" l="1"/>
  <c r="AE449" i="27"/>
  <c r="AE448" i="27"/>
  <c r="AE461" i="27" l="1"/>
  <c r="AE463" i="27"/>
  <c r="AR39" i="29" s="1"/>
  <c r="AE462" i="27"/>
  <c r="AR38" i="29" s="1"/>
  <c r="AE445" i="27"/>
  <c r="AE453" i="27" s="1"/>
  <c r="AE458" i="27" s="1"/>
  <c r="AR16" i="29" s="1"/>
  <c r="AE444" i="27"/>
  <c r="AE443" i="27"/>
  <c r="AE451" i="27" s="1"/>
  <c r="AE456" i="27" s="1"/>
  <c r="AE371" i="27"/>
  <c r="AR14" i="29" l="1"/>
  <c r="AR37" i="29"/>
  <c r="AE452" i="27"/>
  <c r="AE457" i="27" l="1"/>
  <c r="F45" i="30"/>
  <c r="AR15" i="29" l="1"/>
  <c r="AE459" i="27"/>
  <c r="AM40" i="32"/>
  <c r="F18" i="30"/>
  <c r="F12" i="30"/>
  <c r="F52" i="30"/>
  <c r="F53" i="30"/>
  <c r="F54" i="30"/>
  <c r="F51" i="30"/>
  <c r="I46" i="30"/>
  <c r="I24" i="30"/>
  <c r="I23" i="30"/>
  <c r="F8" i="30" l="1"/>
  <c r="F9" i="30"/>
  <c r="F10" i="30"/>
  <c r="F11" i="30"/>
  <c r="E52" i="30"/>
  <c r="E9" i="30" s="1"/>
  <c r="E53" i="30"/>
  <c r="E54" i="30"/>
  <c r="E51" i="30"/>
  <c r="AM48" i="32"/>
  <c r="AM51" i="32" s="1"/>
  <c r="AE43" i="32"/>
  <c r="AE162" i="27" l="1"/>
  <c r="K50" i="32" l="1"/>
  <c r="J44" i="32"/>
  <c r="J43" i="32"/>
  <c r="AM4" i="31"/>
  <c r="AN4" i="31"/>
  <c r="AN4" i="32"/>
  <c r="AM4" i="32"/>
  <c r="I47" i="32"/>
  <c r="I46" i="32"/>
  <c r="I43" i="32"/>
  <c r="I44" i="32"/>
  <c r="I48" i="32"/>
  <c r="AR4" i="29"/>
  <c r="AQ4" i="29"/>
  <c r="AE151" i="27"/>
  <c r="AE160" i="27"/>
  <c r="AE161" i="27"/>
  <c r="X314" i="27"/>
  <c r="AB314" i="27"/>
  <c r="R303" i="27"/>
  <c r="S303" i="27"/>
  <c r="T303" i="27"/>
  <c r="U303" i="27"/>
  <c r="V303" i="27"/>
  <c r="W303" i="27"/>
  <c r="R302" i="27"/>
  <c r="S302" i="27"/>
  <c r="T302" i="27"/>
  <c r="U302" i="27"/>
  <c r="AE428" i="27"/>
  <c r="AE430" i="27"/>
  <c r="AR10" i="29" l="1"/>
  <c r="J50" i="32"/>
  <c r="J46" i="32"/>
  <c r="K46" i="32"/>
  <c r="J47" i="32"/>
  <c r="K47" i="32"/>
  <c r="AN45" i="32"/>
  <c r="K45" i="32" s="1"/>
  <c r="AN42" i="32"/>
  <c r="K42" i="32" s="1"/>
  <c r="AE324" i="27"/>
  <c r="AE320" i="27"/>
  <c r="AE325" i="27" s="1"/>
  <c r="AE68" i="27"/>
  <c r="J36" i="31" s="1"/>
  <c r="AN41" i="32" l="1"/>
  <c r="K41" i="32" s="1"/>
  <c r="AE50" i="32" l="1"/>
  <c r="AE48" i="32"/>
  <c r="AE47" i="32"/>
  <c r="AE46" i="32"/>
  <c r="AE13" i="32" s="1"/>
  <c r="J45" i="32"/>
  <c r="H45" i="32"/>
  <c r="D45" i="32"/>
  <c r="AE44" i="32"/>
  <c r="AE42" i="32" s="1"/>
  <c r="AF42" i="32"/>
  <c r="J42" i="32" s="1"/>
  <c r="H42" i="32"/>
  <c r="D42" i="32"/>
  <c r="G40" i="32"/>
  <c r="F40" i="32"/>
  <c r="E40" i="32"/>
  <c r="G34" i="32"/>
  <c r="AT34" i="32" s="1"/>
  <c r="F34" i="32"/>
  <c r="AM34" i="32" s="1"/>
  <c r="E34" i="32"/>
  <c r="D34" i="32"/>
  <c r="C34" i="32"/>
  <c r="G33" i="32"/>
  <c r="AT33" i="32" s="1"/>
  <c r="F33" i="32"/>
  <c r="AM33" i="32" s="1"/>
  <c r="E33" i="32"/>
  <c r="D33" i="32"/>
  <c r="C33" i="32"/>
  <c r="AE32" i="32"/>
  <c r="AE31" i="32"/>
  <c r="AE30" i="32"/>
  <c r="AE29" i="32"/>
  <c r="AE28" i="32"/>
  <c r="AE27" i="32"/>
  <c r="G25" i="32"/>
  <c r="F25" i="32"/>
  <c r="AM25" i="32" s="1"/>
  <c r="AE25" i="32"/>
  <c r="G24" i="32"/>
  <c r="AT24" i="32" s="1"/>
  <c r="F24" i="32"/>
  <c r="AM24" i="32" s="1"/>
  <c r="E24" i="32"/>
  <c r="D24" i="32"/>
  <c r="C24" i="32"/>
  <c r="AE22" i="32"/>
  <c r="AE21" i="32"/>
  <c r="AE20" i="32"/>
  <c r="AE19" i="32"/>
  <c r="AE14" i="32"/>
  <c r="G14" i="32"/>
  <c r="F14" i="32"/>
  <c r="E14" i="32"/>
  <c r="D14" i="32"/>
  <c r="G13" i="32"/>
  <c r="F13" i="32"/>
  <c r="E13" i="32"/>
  <c r="D13" i="32"/>
  <c r="G11" i="32"/>
  <c r="F11" i="32"/>
  <c r="E11" i="32"/>
  <c r="D11" i="32"/>
  <c r="AE10" i="32"/>
  <c r="G10" i="32"/>
  <c r="F10" i="32"/>
  <c r="E10" i="32"/>
  <c r="D10" i="32"/>
  <c r="E8" i="32"/>
  <c r="AE51" i="32" l="1"/>
  <c r="AE11" i="32"/>
  <c r="AT25" i="32"/>
  <c r="AE23" i="32"/>
  <c r="D15" i="32"/>
  <c r="G15" i="32"/>
  <c r="D12" i="32"/>
  <c r="AE15" i="32"/>
  <c r="AT15" i="32"/>
  <c r="E15" i="32"/>
  <c r="F15" i="32"/>
  <c r="AE33" i="32"/>
  <c r="E12" i="32"/>
  <c r="AT9" i="32"/>
  <c r="AT12" i="32"/>
  <c r="AE24" i="32"/>
  <c r="AT8" i="32"/>
  <c r="E36" i="32"/>
  <c r="AE36" i="32" s="1"/>
  <c r="G9" i="32"/>
  <c r="G36" i="32"/>
  <c r="AT36" i="32" s="1"/>
  <c r="G8" i="32"/>
  <c r="D41" i="32"/>
  <c r="D40" i="32" s="1"/>
  <c r="D36" i="32"/>
  <c r="G12" i="32"/>
  <c r="F36" i="32"/>
  <c r="AM36" i="32" s="1"/>
  <c r="F9" i="32"/>
  <c r="AE45" i="32"/>
  <c r="AE41" i="32" s="1"/>
  <c r="H41" i="32"/>
  <c r="H40" i="32" s="1"/>
  <c r="F12" i="32"/>
  <c r="I45" i="32"/>
  <c r="AE34" i="32"/>
  <c r="I42" i="32"/>
  <c r="F8" i="32"/>
  <c r="E9" i="32"/>
  <c r="C36" i="32"/>
  <c r="AF41" i="32"/>
  <c r="J41" i="32" s="1"/>
  <c r="AR9" i="38" l="1"/>
  <c r="AT6" i="32"/>
  <c r="AR15" i="38"/>
  <c r="AE12" i="32"/>
  <c r="D8" i="32"/>
  <c r="AR12" i="38"/>
  <c r="AR8" i="38"/>
  <c r="E6" i="32"/>
  <c r="AM6" i="32"/>
  <c r="F6" i="32"/>
  <c r="G6" i="32"/>
  <c r="I41" i="32"/>
  <c r="D6" i="32"/>
  <c r="AF40" i="32"/>
  <c r="AE9" i="32"/>
  <c r="D9" i="32"/>
  <c r="AE40" i="32"/>
  <c r="AE6" i="32" s="1"/>
  <c r="AE8" i="32"/>
  <c r="I40" i="32" l="1"/>
  <c r="I74" i="30" l="1"/>
  <c r="I78" i="30" s="1"/>
  <c r="H74" i="30"/>
  <c r="H78" i="30" s="1"/>
  <c r="G74" i="30"/>
  <c r="G78" i="30" s="1"/>
  <c r="F74" i="30"/>
  <c r="F78" i="30" s="1"/>
  <c r="F28" i="30" s="1"/>
  <c r="E74" i="30"/>
  <c r="E78" i="30" s="1"/>
  <c r="D74" i="30"/>
  <c r="D78" i="30" s="1"/>
  <c r="C74" i="30"/>
  <c r="I62" i="30"/>
  <c r="G62" i="30"/>
  <c r="G64" i="30" s="1"/>
  <c r="G20" i="30" s="1"/>
  <c r="F62" i="30"/>
  <c r="F64" i="30" s="1"/>
  <c r="F19" i="30" s="1"/>
  <c r="E62" i="30"/>
  <c r="D62" i="30"/>
  <c r="D64" i="30" s="1"/>
  <c r="C62" i="30"/>
  <c r="C64" i="30" s="1"/>
  <c r="E50" i="30"/>
  <c r="I45" i="30"/>
  <c r="H45" i="30"/>
  <c r="G45" i="30"/>
  <c r="E45" i="30"/>
  <c r="D45" i="30"/>
  <c r="C45" i="30"/>
  <c r="C28" i="30" s="1"/>
  <c r="I27" i="30"/>
  <c r="G27" i="30"/>
  <c r="F27" i="30"/>
  <c r="E27" i="30"/>
  <c r="D27" i="30"/>
  <c r="C27" i="30"/>
  <c r="I22" i="30"/>
  <c r="F22" i="30"/>
  <c r="E22" i="30"/>
  <c r="D22" i="30"/>
  <c r="C22" i="30"/>
  <c r="I18" i="30"/>
  <c r="G18" i="30"/>
  <c r="I17" i="30"/>
  <c r="G17" i="30"/>
  <c r="F17" i="30"/>
  <c r="E17" i="30"/>
  <c r="D17" i="30"/>
  <c r="C17" i="30"/>
  <c r="E11" i="30"/>
  <c r="E10" i="30"/>
  <c r="E8" i="30"/>
  <c r="G7" i="30"/>
  <c r="F7" i="30"/>
  <c r="D7" i="30"/>
  <c r="C7" i="30"/>
  <c r="E28" i="30" l="1"/>
  <c r="I28" i="30"/>
  <c r="D19" i="30"/>
  <c r="H28" i="30"/>
  <c r="E64" i="30"/>
  <c r="E19" i="30" s="1"/>
  <c r="D28" i="30"/>
  <c r="G19" i="30"/>
  <c r="C19" i="30"/>
  <c r="E7" i="30"/>
  <c r="G28" i="30"/>
  <c r="X530" i="27" l="1"/>
  <c r="U526" i="27"/>
  <c r="R96" i="27" l="1"/>
  <c r="S96" i="27"/>
  <c r="T96" i="27"/>
  <c r="U96" i="27"/>
  <c r="V96" i="27"/>
  <c r="W96" i="27"/>
  <c r="X96" i="27"/>
  <c r="Y96" i="27"/>
  <c r="AB96" i="27"/>
  <c r="AT16" i="31" s="1"/>
  <c r="Z96" i="27"/>
  <c r="V428" i="27" l="1"/>
  <c r="W428" i="27"/>
  <c r="X428" i="27"/>
  <c r="Y428" i="27"/>
  <c r="Z428" i="27"/>
  <c r="AB428" i="27"/>
  <c r="X135" i="27" l="1"/>
  <c r="X568" i="27" s="1"/>
  <c r="AD448" i="27" l="1"/>
  <c r="AD447" i="27"/>
  <c r="AD166" i="27"/>
  <c r="AD159" i="27"/>
  <c r="AD163" i="27"/>
  <c r="AD151" i="27"/>
  <c r="AD160" i="27"/>
  <c r="AD161" i="27"/>
  <c r="AD162" i="27"/>
  <c r="AD156" i="27"/>
  <c r="AD155" i="27" s="1"/>
  <c r="AD449" i="27"/>
  <c r="I29" i="32"/>
  <c r="AF29" i="32" s="1"/>
  <c r="I28" i="32"/>
  <c r="AF28" i="32" s="1"/>
  <c r="I50" i="31" l="1"/>
  <c r="AD310" i="27"/>
  <c r="AD312" i="27"/>
  <c r="AD521" i="27"/>
  <c r="I31" i="32"/>
  <c r="AF31" i="32" s="1"/>
  <c r="I32" i="32"/>
  <c r="AF32" i="32" s="1"/>
  <c r="AD74" i="27"/>
  <c r="I21" i="32"/>
  <c r="I53" i="30"/>
  <c r="I22" i="32"/>
  <c r="I54" i="30"/>
  <c r="AD158" i="27"/>
  <c r="I19" i="32"/>
  <c r="I51" i="30"/>
  <c r="I13" i="30" s="1"/>
  <c r="I20" i="32"/>
  <c r="I52" i="30"/>
  <c r="AD308" i="27"/>
  <c r="I30" i="32"/>
  <c r="AF30" i="32" s="1"/>
  <c r="I27" i="32"/>
  <c r="AF27" i="32" s="1"/>
  <c r="AD529" i="27"/>
  <c r="AD530" i="27"/>
  <c r="AD96" i="27"/>
  <c r="AF16" i="31" s="1"/>
  <c r="AD150" i="27"/>
  <c r="AD149" i="27" s="1"/>
  <c r="AD428" i="27"/>
  <c r="AD72" i="27"/>
  <c r="AB563" i="27"/>
  <c r="AD109" i="27"/>
  <c r="AD444" i="27"/>
  <c r="AD452" i="27" s="1"/>
  <c r="AD457" i="27" s="1"/>
  <c r="AJ15" i="29" s="1"/>
  <c r="AD190" i="27"/>
  <c r="AD324" i="27"/>
  <c r="AD189" i="27"/>
  <c r="AD511" i="27"/>
  <c r="AD509" i="27"/>
  <c r="AD510" i="27"/>
  <c r="AD512" i="27"/>
  <c r="AD243" i="27"/>
  <c r="I40" i="31" s="1"/>
  <c r="AD461" i="27"/>
  <c r="AJ37" i="29" s="1"/>
  <c r="AD494" i="27"/>
  <c r="AD507" i="27"/>
  <c r="AD508" i="27"/>
  <c r="AD68" i="27"/>
  <c r="I36" i="31" s="1"/>
  <c r="AD463" i="27"/>
  <c r="AJ39" i="29" s="1"/>
  <c r="AD462" i="27"/>
  <c r="AJ38" i="29" s="1"/>
  <c r="AD445" i="27"/>
  <c r="AD453" i="27" s="1"/>
  <c r="AD458" i="27" s="1"/>
  <c r="AJ16" i="29" s="1"/>
  <c r="AD425" i="27"/>
  <c r="AD443" i="27"/>
  <c r="AD451" i="27" s="1"/>
  <c r="AD456" i="27" s="1"/>
  <c r="AD430" i="27"/>
  <c r="AD429" i="27"/>
  <c r="AD371" i="27"/>
  <c r="AD87" i="27"/>
  <c r="AD320" i="27"/>
  <c r="AD325" i="27" s="1"/>
  <c r="AD198" i="27"/>
  <c r="AD200" i="27"/>
  <c r="AD238" i="27"/>
  <c r="I37" i="31" s="1"/>
  <c r="AD35" i="27"/>
  <c r="AD436" i="27" s="1"/>
  <c r="AD56" i="27"/>
  <c r="AD58" i="27" s="1"/>
  <c r="AD59" i="27" s="1"/>
  <c r="AD46" i="27"/>
  <c r="AD441" i="27" s="1"/>
  <c r="AD464" i="27" l="1"/>
  <c r="AD314" i="27"/>
  <c r="AE18" i="38"/>
  <c r="AD178" i="27"/>
  <c r="AJ14" i="29"/>
  <c r="AD459" i="27"/>
  <c r="M22" i="29"/>
  <c r="M29" i="29" s="1"/>
  <c r="AD315" i="27"/>
  <c r="M44" i="29"/>
  <c r="AD555" i="27"/>
  <c r="I53" i="38"/>
  <c r="I9" i="30"/>
  <c r="I14" i="30"/>
  <c r="I10" i="30"/>
  <c r="I15" i="30"/>
  <c r="I11" i="30"/>
  <c r="I16" i="30"/>
  <c r="I51" i="31"/>
  <c r="I49" i="31"/>
  <c r="I23" i="32"/>
  <c r="AF22" i="32"/>
  <c r="AF20" i="32"/>
  <c r="AF19" i="32"/>
  <c r="AF21" i="32"/>
  <c r="AD556" i="27"/>
  <c r="AF33" i="31"/>
  <c r="AD135" i="27"/>
  <c r="I25" i="32"/>
  <c r="I24" i="32"/>
  <c r="AJ35" i="29"/>
  <c r="I50" i="30"/>
  <c r="I12" i="30" s="1"/>
  <c r="I8" i="30"/>
  <c r="I33" i="32"/>
  <c r="I34" i="32"/>
  <c r="AD560" i="27"/>
  <c r="AD331" i="27"/>
  <c r="AD497" i="27"/>
  <c r="AD170" i="27"/>
  <c r="AD495" i="27"/>
  <c r="AD245" i="27"/>
  <c r="AD246" i="27" s="1"/>
  <c r="AD199" i="27"/>
  <c r="AD230" i="27"/>
  <c r="AD506" i="27"/>
  <c r="AD496" i="27"/>
  <c r="AD493" i="27"/>
  <c r="AD427" i="27"/>
  <c r="AD99" i="27"/>
  <c r="AD61" i="27"/>
  <c r="AD568" i="27" l="1"/>
  <c r="AD538" i="27"/>
  <c r="N15" i="29"/>
  <c r="AJ10" i="29"/>
  <c r="N16" i="29"/>
  <c r="N14" i="29"/>
  <c r="I53" i="31"/>
  <c r="AF23" i="32"/>
  <c r="AF25" i="32"/>
  <c r="AF24" i="32"/>
  <c r="AD524" i="27"/>
  <c r="AD525" i="27"/>
  <c r="AD554" i="27"/>
  <c r="I7" i="30"/>
  <c r="I64" i="30"/>
  <c r="AF34" i="32"/>
  <c r="AF33" i="32"/>
  <c r="AJ12" i="29"/>
  <c r="I36" i="32"/>
  <c r="AD502" i="27"/>
  <c r="AD106" i="27"/>
  <c r="AD130" i="27"/>
  <c r="AD527" i="27" s="1"/>
  <c r="N12" i="29" l="1"/>
  <c r="N41" i="29" s="1"/>
  <c r="I19" i="30"/>
  <c r="I20" i="30"/>
  <c r="AF36" i="32"/>
  <c r="AJ41" i="29"/>
  <c r="AD141" i="27"/>
  <c r="AD431" i="27" s="1"/>
  <c r="AD526" i="27"/>
  <c r="AD535" i="27"/>
  <c r="AD536" i="27"/>
  <c r="AD539" i="27"/>
  <c r="AD143" i="27" l="1"/>
  <c r="AD176" i="27"/>
  <c r="AD175" i="27"/>
  <c r="AC449" i="27" l="1"/>
  <c r="Z427" i="27"/>
  <c r="N529" i="27" l="1"/>
  <c r="S511" i="27" l="1"/>
  <c r="AC320" i="27" l="1"/>
  <c r="AC325" i="27" s="1"/>
  <c r="AC324" i="27"/>
  <c r="Q301" i="27"/>
  <c r="Q303" i="27"/>
  <c r="P302" i="27"/>
  <c r="Q302" i="27"/>
  <c r="AC160" i="27" l="1"/>
  <c r="AC151" i="27"/>
  <c r="AC161" i="27"/>
  <c r="AC162" i="27"/>
  <c r="AC230" i="27" l="1"/>
  <c r="AC68" i="27"/>
  <c r="H36" i="31" s="1"/>
  <c r="X189" i="27" l="1"/>
  <c r="X190" i="27"/>
  <c r="AB529" i="27" l="1"/>
  <c r="AB494" i="27"/>
  <c r="AB522" i="27" l="1"/>
  <c r="S208" i="27"/>
  <c r="S522" i="27" s="1"/>
  <c r="S198" i="27"/>
  <c r="S217" i="27" s="1"/>
  <c r="T430" i="27" l="1"/>
  <c r="T429" i="27"/>
  <c r="T428" i="27"/>
  <c r="T461" i="27"/>
  <c r="T449" i="27"/>
  <c r="T448" i="27"/>
  <c r="T447" i="27"/>
  <c r="T443" i="27"/>
  <c r="T463" i="27"/>
  <c r="T451" i="27" l="1"/>
  <c r="T462" i="27"/>
  <c r="T425" i="27"/>
  <c r="T444" i="27"/>
  <c r="T452" i="27" s="1"/>
  <c r="T371" i="27"/>
  <c r="T445" i="27"/>
  <c r="T453" i="27" s="1"/>
  <c r="X449" i="27" l="1"/>
  <c r="X448" i="27" l="1"/>
  <c r="X447" i="27"/>
  <c r="T427" i="27"/>
  <c r="X444" i="27" l="1"/>
  <c r="X452" i="27" s="1"/>
  <c r="X457" i="27" s="1"/>
  <c r="AX15" i="29" s="1"/>
  <c r="X463" i="27"/>
  <c r="X429" i="27"/>
  <c r="X462" i="27"/>
  <c r="X430" i="27"/>
  <c r="X445" i="27"/>
  <c r="X453" i="27" s="1"/>
  <c r="X425" i="27"/>
  <c r="X371" i="27"/>
  <c r="X443" i="27"/>
  <c r="X451" i="27" s="1"/>
  <c r="X456" i="27" s="1"/>
  <c r="X461" i="27"/>
  <c r="T209" i="27"/>
  <c r="C25" i="29" s="1"/>
  <c r="C30" i="29" s="1"/>
  <c r="AX14" i="29" l="1"/>
  <c r="X458" i="27"/>
  <c r="AX16" i="29" s="1"/>
  <c r="AX10" i="29" s="1"/>
  <c r="X427" i="27"/>
  <c r="AX12" i="29" l="1"/>
  <c r="X459" i="27"/>
  <c r="AB371" i="27"/>
  <c r="AB430" i="27"/>
  <c r="X494" i="27" l="1"/>
  <c r="P74" i="27" l="1"/>
  <c r="Q74" i="27"/>
  <c r="R74" i="27"/>
  <c r="S74" i="27"/>
  <c r="T74" i="27"/>
  <c r="U74" i="27"/>
  <c r="V74" i="27"/>
  <c r="W74" i="27"/>
  <c r="X74" i="27"/>
  <c r="Y74" i="27"/>
  <c r="Z74" i="27"/>
  <c r="AB103" i="27"/>
  <c r="AB101" i="27"/>
  <c r="F22" i="29" l="1"/>
  <c r="I22" i="29"/>
  <c r="G22" i="29"/>
  <c r="D22" i="29"/>
  <c r="H22" i="29"/>
  <c r="E22" i="29"/>
  <c r="C22" i="29"/>
  <c r="G70" i="27"/>
  <c r="H70" i="27"/>
  <c r="I70" i="27"/>
  <c r="J70" i="27"/>
  <c r="K70" i="27"/>
  <c r="L70" i="27"/>
  <c r="M70" i="27"/>
  <c r="N70" i="27"/>
  <c r="O70" i="27"/>
  <c r="F70" i="27"/>
  <c r="F537" i="27" s="1"/>
  <c r="D58" i="27"/>
  <c r="D498" i="27" s="1"/>
  <c r="E58" i="27"/>
  <c r="O199" i="27"/>
  <c r="M199" i="27"/>
  <c r="K199" i="27"/>
  <c r="I199" i="27"/>
  <c r="D199" i="27"/>
  <c r="E199" i="27"/>
  <c r="E4" i="27"/>
  <c r="H537" i="27" l="1"/>
  <c r="G199" i="27"/>
  <c r="P249" i="27"/>
  <c r="P248" i="27"/>
  <c r="Q249" i="27"/>
  <c r="Q248" i="27"/>
  <c r="P190" i="27"/>
  <c r="P189" i="27"/>
  <c r="Q190" i="27"/>
  <c r="Q189" i="27"/>
  <c r="J190" i="27"/>
  <c r="J189" i="27"/>
  <c r="N189" i="27"/>
  <c r="H190" i="27" l="1"/>
  <c r="F189" i="27"/>
  <c r="H189" i="27"/>
  <c r="F190" i="27"/>
  <c r="L189" i="27"/>
  <c r="L190" i="27"/>
  <c r="N190" i="27"/>
  <c r="J198" i="27"/>
  <c r="H198" i="27"/>
  <c r="N198" i="27"/>
  <c r="N217" i="27" s="1"/>
  <c r="L198" i="27"/>
  <c r="L217" i="27" s="1"/>
  <c r="F198" i="27"/>
  <c r="J217" i="27" l="1"/>
  <c r="J199" i="27"/>
  <c r="L199" i="27"/>
  <c r="N199" i="27"/>
  <c r="H199" i="27"/>
  <c r="F199" i="27"/>
  <c r="F540" i="27" l="1"/>
  <c r="J220" i="27"/>
  <c r="N220" i="27"/>
  <c r="L220" i="27"/>
  <c r="H540" i="27"/>
  <c r="N221" i="27" l="1"/>
  <c r="N63" i="27"/>
  <c r="J221" i="27"/>
  <c r="J63" i="27"/>
  <c r="L221" i="27"/>
  <c r="L63" i="27"/>
  <c r="S4" i="27"/>
  <c r="F494" i="27" l="1"/>
  <c r="H494" i="27"/>
  <c r="J494" i="27"/>
  <c r="L494" i="27"/>
  <c r="N494" i="27"/>
  <c r="P494" i="27"/>
  <c r="F502" i="27"/>
  <c r="H502" i="27"/>
  <c r="J502" i="27"/>
  <c r="L502" i="27"/>
  <c r="N502" i="27"/>
  <c r="F503" i="27"/>
  <c r="H503" i="27"/>
  <c r="J503" i="27"/>
  <c r="L503" i="27"/>
  <c r="N503" i="27"/>
  <c r="F504" i="27"/>
  <c r="H504" i="27"/>
  <c r="J504" i="27"/>
  <c r="L504" i="27"/>
  <c r="N504" i="27"/>
  <c r="F506" i="27"/>
  <c r="H506" i="27"/>
  <c r="J506" i="27"/>
  <c r="L506" i="27"/>
  <c r="N506" i="27"/>
  <c r="F513" i="27"/>
  <c r="H513" i="27"/>
  <c r="J513" i="27"/>
  <c r="L513" i="27"/>
  <c r="N513" i="27"/>
  <c r="F521" i="27"/>
  <c r="H521" i="27"/>
  <c r="J521" i="27"/>
  <c r="L521" i="27"/>
  <c r="N521" i="27"/>
  <c r="F522" i="27"/>
  <c r="H522" i="27"/>
  <c r="J522" i="27"/>
  <c r="L522" i="27"/>
  <c r="N522" i="27"/>
  <c r="J540" i="27"/>
  <c r="L540" i="27"/>
  <c r="N540" i="27"/>
  <c r="P68" i="27"/>
  <c r="F56" i="27"/>
  <c r="F58" i="27" s="1"/>
  <c r="F498" i="27" s="1"/>
  <c r="H56" i="27"/>
  <c r="J56" i="27"/>
  <c r="J58" i="27" s="1"/>
  <c r="L56" i="27"/>
  <c r="G58" i="27"/>
  <c r="I58" i="27"/>
  <c r="M58" i="27"/>
  <c r="M59" i="27" s="1"/>
  <c r="O58" i="27"/>
  <c r="N537" i="27"/>
  <c r="L537" i="27"/>
  <c r="J537" i="27"/>
  <c r="N56" i="27"/>
  <c r="M46" i="27"/>
  <c r="F46" i="27"/>
  <c r="F497" i="27" s="1"/>
  <c r="H46" i="27"/>
  <c r="H497" i="27" s="1"/>
  <c r="J46" i="27"/>
  <c r="J497" i="27" s="1"/>
  <c r="K46" i="27"/>
  <c r="N46" i="27"/>
  <c r="N497" i="27" s="1"/>
  <c r="I46" i="27"/>
  <c r="G46" i="27"/>
  <c r="L46" i="27"/>
  <c r="L497" i="27" s="1"/>
  <c r="O46" i="27"/>
  <c r="F35" i="27"/>
  <c r="G35" i="27"/>
  <c r="H35" i="27"/>
  <c r="I35" i="27"/>
  <c r="J35" i="27"/>
  <c r="K35" i="27"/>
  <c r="L35" i="27"/>
  <c r="M35" i="27"/>
  <c r="G4" i="27"/>
  <c r="I4" i="27"/>
  <c r="O35" i="27"/>
  <c r="N35" i="27"/>
  <c r="K4" i="27"/>
  <c r="M4" i="27"/>
  <c r="O4" i="27"/>
  <c r="O59" i="27" l="1"/>
  <c r="J498" i="27"/>
  <c r="L493" i="27"/>
  <c r="L499" i="27"/>
  <c r="H493" i="27"/>
  <c r="H499" i="27"/>
  <c r="J493" i="27"/>
  <c r="J499" i="27"/>
  <c r="F493" i="27"/>
  <c r="F499" i="27"/>
  <c r="N493" i="27"/>
  <c r="N499" i="27"/>
  <c r="F495" i="27"/>
  <c r="J495" i="27"/>
  <c r="G61" i="27"/>
  <c r="N496" i="27"/>
  <c r="L496" i="27"/>
  <c r="J61" i="27"/>
  <c r="J496" i="27"/>
  <c r="H496" i="27"/>
  <c r="F61" i="27"/>
  <c r="F496" i="27"/>
  <c r="O61" i="27"/>
  <c r="M61" i="27"/>
  <c r="I61" i="27"/>
  <c r="H58" i="27"/>
  <c r="H498" i="27" s="1"/>
  <c r="L58" i="27"/>
  <c r="N58" i="27"/>
  <c r="K58" i="27"/>
  <c r="K61" i="27" s="1"/>
  <c r="N59" i="27" l="1"/>
  <c r="B8" i="67" s="1"/>
  <c r="B7" i="67"/>
  <c r="N498" i="27"/>
  <c r="L498" i="27"/>
  <c r="H61" i="27"/>
  <c r="H495" i="27"/>
  <c r="N61" i="27"/>
  <c r="N495" i="27"/>
  <c r="L61" i="27"/>
  <c r="L495" i="27"/>
  <c r="B14" i="67" l="1"/>
  <c r="B13" i="67"/>
  <c r="AB444" i="27"/>
  <c r="AB445" i="27"/>
  <c r="AB447" i="27"/>
  <c r="AB451" i="27" s="1"/>
  <c r="AB448" i="27"/>
  <c r="AB449" i="27"/>
  <c r="AB461" i="27"/>
  <c r="AB462" i="27"/>
  <c r="AB463" i="27"/>
  <c r="AB320" i="27"/>
  <c r="AB452" i="27" l="1"/>
  <c r="AB457" i="27" s="1"/>
  <c r="AY15" i="29" s="1"/>
  <c r="AB453" i="27"/>
  <c r="AB458" i="27" s="1"/>
  <c r="AY16" i="29" s="1"/>
  <c r="AB324" i="27"/>
  <c r="AB325" i="27"/>
  <c r="AB456" i="27" l="1"/>
  <c r="AY10" i="29"/>
  <c r="Y109" i="27"/>
  <c r="Z109" i="27"/>
  <c r="Y105" i="27"/>
  <c r="Z105" i="27"/>
  <c r="AY14" i="29" l="1"/>
  <c r="AY12" i="29" s="1"/>
  <c r="AB459" i="27"/>
  <c r="AI35" i="29"/>
  <c r="R308" i="27"/>
  <c r="T308" i="27"/>
  <c r="Y308" i="27"/>
  <c r="Z308" i="27"/>
  <c r="AB151" i="27" l="1"/>
  <c r="AB149" i="27" s="1"/>
  <c r="AB159" i="27"/>
  <c r="AB161" i="27"/>
  <c r="AB162" i="27"/>
  <c r="AB68" i="27"/>
  <c r="G36" i="31" s="1"/>
  <c r="G51" i="31" l="1"/>
  <c r="AB210" i="27"/>
  <c r="S72" i="27" l="1"/>
  <c r="P72" i="27"/>
  <c r="Q72" i="27"/>
  <c r="R72" i="27"/>
  <c r="Q210" i="27" l="1"/>
  <c r="Q215" i="27"/>
  <c r="Q216" i="27"/>
  <c r="Q213" i="27"/>
  <c r="Q214" i="27"/>
  <c r="R215" i="27"/>
  <c r="P216" i="27" l="1"/>
  <c r="P213" i="27"/>
  <c r="P214" i="27"/>
  <c r="P215" i="27"/>
  <c r="F163" i="27" l="1"/>
  <c r="N163" i="27"/>
  <c r="F135" i="27"/>
  <c r="H135" i="27"/>
  <c r="N135" i="27"/>
  <c r="H161" i="27"/>
  <c r="J161" i="27"/>
  <c r="J166" i="27"/>
  <c r="N166" i="27"/>
  <c r="H156" i="27"/>
  <c r="H155" i="27" s="1"/>
  <c r="F156" i="27"/>
  <c r="F155" i="27" s="1"/>
  <c r="F150" i="27"/>
  <c r="H150" i="27"/>
  <c r="J150" i="27"/>
  <c r="L150" i="27"/>
  <c r="N150" i="27"/>
  <c r="F151" i="27"/>
  <c r="H151" i="27"/>
  <c r="J151" i="27"/>
  <c r="L151" i="27"/>
  <c r="N151" i="27"/>
  <c r="F152" i="27"/>
  <c r="H152" i="27"/>
  <c r="J152" i="27"/>
  <c r="L152" i="27"/>
  <c r="N152" i="27"/>
  <c r="F153" i="27"/>
  <c r="H153" i="27"/>
  <c r="J153" i="27"/>
  <c r="L153" i="27"/>
  <c r="N153" i="27"/>
  <c r="J156" i="27"/>
  <c r="J155" i="27" s="1"/>
  <c r="L156" i="27"/>
  <c r="L155" i="27" s="1"/>
  <c r="F159" i="27"/>
  <c r="H159" i="27"/>
  <c r="J159" i="27"/>
  <c r="L159" i="27"/>
  <c r="N159" i="27"/>
  <c r="F160" i="27"/>
  <c r="H160" i="27"/>
  <c r="J160" i="27"/>
  <c r="L160" i="27"/>
  <c r="N160" i="27"/>
  <c r="F161" i="27"/>
  <c r="L161" i="27"/>
  <c r="N161" i="27"/>
  <c r="F162" i="27"/>
  <c r="H162" i="27"/>
  <c r="J162" i="27"/>
  <c r="L162" i="27"/>
  <c r="N162" i="27"/>
  <c r="H163" i="27"/>
  <c r="L163" i="27"/>
  <c r="L166" i="27"/>
  <c r="F99" i="27"/>
  <c r="N99" i="27"/>
  <c r="H99" i="27"/>
  <c r="J99" i="27"/>
  <c r="J106" i="27" s="1"/>
  <c r="L99" i="27"/>
  <c r="P150" i="27"/>
  <c r="P149" i="27" s="1"/>
  <c r="P166" i="27"/>
  <c r="P163" i="27"/>
  <c r="P162" i="27"/>
  <c r="P161" i="27"/>
  <c r="P160" i="27"/>
  <c r="P159" i="27"/>
  <c r="P156" i="27"/>
  <c r="P155" i="27" s="1"/>
  <c r="P153" i="27"/>
  <c r="P152" i="27"/>
  <c r="P151" i="27"/>
  <c r="N149" i="27" l="1"/>
  <c r="L149" i="27"/>
  <c r="H533" i="27"/>
  <c r="H534" i="27"/>
  <c r="F538" i="27"/>
  <c r="F533" i="27"/>
  <c r="F534" i="27"/>
  <c r="N538" i="27"/>
  <c r="H538" i="27"/>
  <c r="H106" i="27"/>
  <c r="L106" i="27"/>
  <c r="L534" i="27"/>
  <c r="L533" i="27"/>
  <c r="N106" i="27"/>
  <c r="N534" i="27"/>
  <c r="N533" i="27"/>
  <c r="J534" i="27"/>
  <c r="J533" i="27"/>
  <c r="J149" i="27"/>
  <c r="H149" i="27"/>
  <c r="F149" i="27"/>
  <c r="P158" i="27"/>
  <c r="J163" i="27"/>
  <c r="J158" i="27" s="1"/>
  <c r="J135" i="27"/>
  <c r="L135" i="27"/>
  <c r="H166" i="27"/>
  <c r="H158" i="27" s="1"/>
  <c r="F158" i="27"/>
  <c r="F130" i="27"/>
  <c r="F535" i="27" s="1"/>
  <c r="N158" i="27"/>
  <c r="L158" i="27"/>
  <c r="L130" i="27"/>
  <c r="J130" i="27"/>
  <c r="J535" i="27" s="1"/>
  <c r="N130" i="27"/>
  <c r="N535" i="27" s="1"/>
  <c r="N156" i="27"/>
  <c r="N155" i="27" s="1"/>
  <c r="H130" i="27"/>
  <c r="H535" i="27" s="1"/>
  <c r="F106" i="27"/>
  <c r="F170" i="27" l="1"/>
  <c r="L170" i="27"/>
  <c r="F539" i="27"/>
  <c r="F536" i="27"/>
  <c r="P170" i="27"/>
  <c r="N141" i="27"/>
  <c r="N536" i="27"/>
  <c r="N539" i="27"/>
  <c r="J536" i="27"/>
  <c r="J539" i="27"/>
  <c r="L536" i="27"/>
  <c r="L539" i="27"/>
  <c r="L538" i="27"/>
  <c r="F141" i="27"/>
  <c r="L535" i="27"/>
  <c r="J538" i="27"/>
  <c r="H141" i="27"/>
  <c r="H536" i="27"/>
  <c r="H539" i="27"/>
  <c r="J170" i="27"/>
  <c r="L141" i="27"/>
  <c r="H170" i="27"/>
  <c r="J141" i="27"/>
  <c r="N170" i="27"/>
  <c r="H143" i="27" l="1"/>
  <c r="H176" i="27"/>
  <c r="J143" i="27"/>
  <c r="J176" i="27"/>
  <c r="L143" i="27"/>
  <c r="L176" i="27"/>
  <c r="N143" i="27"/>
  <c r="N176" i="27"/>
  <c r="F143" i="27"/>
  <c r="F176" i="27"/>
  <c r="H175" i="27"/>
  <c r="H549" i="27" s="1"/>
  <c r="J543" i="27"/>
  <c r="H544" i="27"/>
  <c r="H543" i="27"/>
  <c r="B4" i="67" l="1"/>
  <c r="B12" i="67" s="1"/>
  <c r="L544" i="27"/>
  <c r="L175" i="27"/>
  <c r="L548" i="27" s="1"/>
  <c r="N175" i="27"/>
  <c r="B5" i="67" s="1"/>
  <c r="B16" i="67" s="1"/>
  <c r="J175" i="27"/>
  <c r="J549" i="27" s="1"/>
  <c r="N543" i="27"/>
  <c r="J544" i="27"/>
  <c r="L543" i="27"/>
  <c r="F175" i="27"/>
  <c r="F549" i="27" s="1"/>
  <c r="F543" i="27"/>
  <c r="F544" i="27"/>
  <c r="N544" i="27"/>
  <c r="H548" i="27"/>
  <c r="T530" i="27"/>
  <c r="T529" i="27"/>
  <c r="V530" i="27"/>
  <c r="V529" i="27"/>
  <c r="W530" i="27"/>
  <c r="X529" i="27"/>
  <c r="W529" i="27"/>
  <c r="N548" i="27" l="1"/>
  <c r="N549" i="27"/>
  <c r="B18" i="67"/>
  <c r="L549" i="27"/>
  <c r="F548" i="27"/>
  <c r="J548" i="27"/>
  <c r="AA162" i="27"/>
  <c r="Y463" i="27" l="1"/>
  <c r="Y462" i="27"/>
  <c r="Y448" i="27"/>
  <c r="Z449" i="27"/>
  <c r="Y449" i="27"/>
  <c r="V449" i="27"/>
  <c r="Y445" i="27"/>
  <c r="Y444" i="27"/>
  <c r="Y453" i="27" l="1"/>
  <c r="Y458" i="27" l="1"/>
  <c r="H16" i="29" s="1"/>
  <c r="H10" i="29" s="1"/>
  <c r="Z208" i="27"/>
  <c r="I24" i="29" s="1"/>
  <c r="I29" i="29" s="1"/>
  <c r="V448" i="27" l="1"/>
  <c r="Z462" i="27"/>
  <c r="Z448" i="27"/>
  <c r="Z447" i="27"/>
  <c r="Z444" i="27"/>
  <c r="V445" i="27" l="1"/>
  <c r="V453" i="27" s="1"/>
  <c r="Z445" i="27"/>
  <c r="Z453" i="27" s="1"/>
  <c r="V444" i="27"/>
  <c r="V462" i="27"/>
  <c r="V463" i="27"/>
  <c r="Z463" i="27"/>
  <c r="AI38" i="29" s="1"/>
  <c r="Z452" i="27"/>
  <c r="Z457" i="27" s="1"/>
  <c r="AI15" i="29" s="1"/>
  <c r="Z425" i="27"/>
  <c r="Z461" i="27"/>
  <c r="V425" i="27"/>
  <c r="V443" i="27"/>
  <c r="V371" i="27"/>
  <c r="Z443" i="27"/>
  <c r="Z451" i="27" s="1"/>
  <c r="Z456" i="27" s="1"/>
  <c r="Z371" i="27"/>
  <c r="V427" i="27"/>
  <c r="AI37" i="29" l="1"/>
  <c r="Z464" i="27"/>
  <c r="Z458" i="27"/>
  <c r="AI16" i="29" s="1"/>
  <c r="AI10" i="29" s="1"/>
  <c r="AI14" i="29"/>
  <c r="I16" i="29" l="1"/>
  <c r="I10" i="29" s="1"/>
  <c r="Z459" i="27"/>
  <c r="Z129" i="27"/>
  <c r="W166" i="27" l="1"/>
  <c r="Z166" i="27" l="1"/>
  <c r="Y429" i="27"/>
  <c r="W511" i="27"/>
  <c r="W518" i="27"/>
  <c r="Y166" i="27" l="1"/>
  <c r="Y163" i="27"/>
  <c r="Y162" i="27"/>
  <c r="Y161" i="27"/>
  <c r="Y160" i="27"/>
  <c r="Y159" i="27"/>
  <c r="Y156" i="27"/>
  <c r="Y155" i="27" s="1"/>
  <c r="Y151" i="27"/>
  <c r="Y150" i="27"/>
  <c r="Y149" i="27" l="1"/>
  <c r="Y158" i="27"/>
  <c r="Y170" i="27" l="1"/>
  <c r="X563" i="27" l="1"/>
  <c r="V563" i="27"/>
  <c r="T563" i="27"/>
  <c r="R563" i="27"/>
  <c r="W514" i="27"/>
  <c r="W507" i="27"/>
  <c r="Z494" i="27"/>
  <c r="W494" i="27"/>
  <c r="V494" i="27"/>
  <c r="T494" i="27"/>
  <c r="R494" i="27"/>
  <c r="Y461" i="27"/>
  <c r="Y464" i="27" s="1"/>
  <c r="V461" i="27"/>
  <c r="Y447" i="27"/>
  <c r="V447" i="27"/>
  <c r="V451" i="27" s="1"/>
  <c r="Y443" i="27"/>
  <c r="Y430" i="27"/>
  <c r="Y425" i="27"/>
  <c r="Y371" i="27"/>
  <c r="Z324" i="27"/>
  <c r="Y324" i="27"/>
  <c r="X324" i="27"/>
  <c r="W324" i="27"/>
  <c r="V324" i="27"/>
  <c r="U324" i="27"/>
  <c r="T324" i="27"/>
  <c r="R324" i="27"/>
  <c r="P324" i="27"/>
  <c r="Z320" i="27"/>
  <c r="Z325" i="27" s="1"/>
  <c r="Y320" i="27"/>
  <c r="Y325" i="27" s="1"/>
  <c r="X320" i="27"/>
  <c r="X325" i="27" s="1"/>
  <c r="W320" i="27"/>
  <c r="W325" i="27" s="1"/>
  <c r="V320" i="27"/>
  <c r="V325" i="27" s="1"/>
  <c r="U320" i="27"/>
  <c r="U325" i="27" s="1"/>
  <c r="T320" i="27"/>
  <c r="T325" i="27" s="1"/>
  <c r="R320" i="27"/>
  <c r="R325" i="27" s="1"/>
  <c r="P320" i="27"/>
  <c r="P325" i="27" s="1"/>
  <c r="AA320" i="27"/>
  <c r="P264" i="27"/>
  <c r="Z249" i="27"/>
  <c r="Y249" i="27"/>
  <c r="X249" i="27"/>
  <c r="W249" i="27"/>
  <c r="V249" i="27"/>
  <c r="U249" i="27"/>
  <c r="T249" i="27"/>
  <c r="S249" i="27"/>
  <c r="R249" i="27"/>
  <c r="Z243" i="27"/>
  <c r="E40" i="31" s="1"/>
  <c r="Y243" i="27"/>
  <c r="D40" i="31" s="1"/>
  <c r="X243" i="27"/>
  <c r="C40" i="31" s="1"/>
  <c r="W243" i="27"/>
  <c r="V243" i="27"/>
  <c r="U243" i="27"/>
  <c r="T243" i="27"/>
  <c r="R243" i="27"/>
  <c r="Q243" i="27"/>
  <c r="P243" i="27"/>
  <c r="Z238" i="27"/>
  <c r="E37" i="31" s="1"/>
  <c r="Y238" i="27"/>
  <c r="X238" i="27"/>
  <c r="W238" i="27"/>
  <c r="V238" i="27"/>
  <c r="U238" i="27"/>
  <c r="T238" i="27"/>
  <c r="R238" i="27"/>
  <c r="Q238" i="27"/>
  <c r="P238" i="27"/>
  <c r="Z228" i="27"/>
  <c r="Y228" i="27"/>
  <c r="Y521" i="27" s="1"/>
  <c r="X228" i="27"/>
  <c r="X521" i="27" s="1"/>
  <c r="W228" i="27"/>
  <c r="W521" i="27" s="1"/>
  <c r="V228" i="27"/>
  <c r="V521" i="27" s="1"/>
  <c r="T228" i="27"/>
  <c r="T521" i="27" s="1"/>
  <c r="R228" i="27"/>
  <c r="R521" i="27" s="1"/>
  <c r="P228" i="27"/>
  <c r="Z225" i="27"/>
  <c r="X225" i="27"/>
  <c r="W225" i="27"/>
  <c r="V225" i="27"/>
  <c r="T225" i="27"/>
  <c r="T517" i="27" s="1"/>
  <c r="R225" i="27"/>
  <c r="Z224" i="27"/>
  <c r="X224" i="27"/>
  <c r="W224" i="27"/>
  <c r="V224" i="27"/>
  <c r="T224" i="27"/>
  <c r="R224" i="27"/>
  <c r="Z227" i="27"/>
  <c r="X227" i="27"/>
  <c r="X515" i="27" s="1"/>
  <c r="W508" i="27"/>
  <c r="V227" i="27"/>
  <c r="V508" i="27" s="1"/>
  <c r="T227" i="27"/>
  <c r="T508" i="27" s="1"/>
  <c r="R227" i="27"/>
  <c r="R508" i="27" s="1"/>
  <c r="P223" i="27"/>
  <c r="Z214" i="27"/>
  <c r="Y214" i="27"/>
  <c r="W214" i="27"/>
  <c r="V214" i="27"/>
  <c r="U214" i="27"/>
  <c r="T214" i="27"/>
  <c r="S214" i="27"/>
  <c r="R214" i="27"/>
  <c r="Z213" i="27"/>
  <c r="Y213" i="27"/>
  <c r="W213" i="27"/>
  <c r="V213" i="27"/>
  <c r="U213" i="27"/>
  <c r="T213" i="27"/>
  <c r="S213" i="27"/>
  <c r="R213" i="27"/>
  <c r="Z216" i="27"/>
  <c r="Y216" i="27"/>
  <c r="X216" i="27"/>
  <c r="W216" i="27"/>
  <c r="V216" i="27"/>
  <c r="U216" i="27"/>
  <c r="T216" i="27"/>
  <c r="S216" i="27"/>
  <c r="R216" i="27"/>
  <c r="Z215" i="27"/>
  <c r="Y215" i="27"/>
  <c r="X215" i="27"/>
  <c r="W215" i="27"/>
  <c r="V215" i="27"/>
  <c r="U215" i="27"/>
  <c r="T215" i="27"/>
  <c r="S215" i="27"/>
  <c r="S210" i="27"/>
  <c r="Y207" i="27"/>
  <c r="X207" i="27"/>
  <c r="W207" i="27"/>
  <c r="V207" i="27"/>
  <c r="U207" i="27"/>
  <c r="U208" i="27" s="1"/>
  <c r="D24" i="29" s="1"/>
  <c r="D29" i="29" s="1"/>
  <c r="T207" i="27"/>
  <c r="T208" i="27" s="1"/>
  <c r="C24" i="29" s="1"/>
  <c r="C29" i="29" s="1"/>
  <c r="R207" i="27"/>
  <c r="R208" i="27" s="1"/>
  <c r="P207" i="27"/>
  <c r="P208" i="27" s="1"/>
  <c r="X204" i="27"/>
  <c r="X203" i="27"/>
  <c r="Z198" i="27"/>
  <c r="Y198" i="27"/>
  <c r="D53" i="38" s="1"/>
  <c r="X555" i="27"/>
  <c r="W198" i="27"/>
  <c r="V198" i="27"/>
  <c r="U198" i="27"/>
  <c r="T198" i="27"/>
  <c r="T555" i="27" s="1"/>
  <c r="R198" i="27"/>
  <c r="R555" i="27" s="1"/>
  <c r="Q198" i="27"/>
  <c r="Q217" i="27" s="1"/>
  <c r="P198" i="27"/>
  <c r="Z190" i="27"/>
  <c r="Y190" i="27"/>
  <c r="W190" i="27"/>
  <c r="V190" i="27"/>
  <c r="U190" i="27"/>
  <c r="T190" i="27"/>
  <c r="S190" i="27"/>
  <c r="R190" i="27"/>
  <c r="Z189" i="27"/>
  <c r="Y189" i="27"/>
  <c r="W189" i="27"/>
  <c r="V189" i="27"/>
  <c r="U189" i="27"/>
  <c r="T189" i="27"/>
  <c r="S189" i="27"/>
  <c r="R189" i="27"/>
  <c r="Q212" i="27"/>
  <c r="R166" i="27"/>
  <c r="R158" i="27" s="1"/>
  <c r="W163" i="27"/>
  <c r="W162" i="27"/>
  <c r="AA161" i="27"/>
  <c r="W161" i="27"/>
  <c r="AA160" i="27"/>
  <c r="W160" i="27"/>
  <c r="AA159" i="27"/>
  <c r="W159" i="27"/>
  <c r="Z158" i="27"/>
  <c r="X158" i="27"/>
  <c r="X170" i="27" s="1"/>
  <c r="V158" i="27"/>
  <c r="T158" i="27"/>
  <c r="W156" i="27"/>
  <c r="W155" i="27" s="1"/>
  <c r="T155" i="27"/>
  <c r="R155" i="27"/>
  <c r="AA151" i="27"/>
  <c r="W151" i="27"/>
  <c r="W150" i="27"/>
  <c r="T145" i="27"/>
  <c r="Z137" i="27"/>
  <c r="Y137" i="27"/>
  <c r="R137" i="27"/>
  <c r="Q137" i="27"/>
  <c r="P137" i="27"/>
  <c r="X524" i="27"/>
  <c r="W135" i="27"/>
  <c r="S135" i="27"/>
  <c r="S141" i="27" s="1"/>
  <c r="Y135" i="27"/>
  <c r="T134" i="27"/>
  <c r="T135" i="27" s="1"/>
  <c r="R134" i="27"/>
  <c r="R135" i="27" s="1"/>
  <c r="Q134" i="27"/>
  <c r="Q135" i="27" s="1"/>
  <c r="P134" i="27"/>
  <c r="P135" i="27" s="1"/>
  <c r="V132" i="27"/>
  <c r="V135" i="27" s="1"/>
  <c r="Q129" i="27"/>
  <c r="X109" i="27"/>
  <c r="X464" i="27" s="1"/>
  <c r="W109" i="27"/>
  <c r="V109" i="27"/>
  <c r="V464" i="27" s="1"/>
  <c r="T109" i="27"/>
  <c r="T464" i="27" s="1"/>
  <c r="R109" i="27"/>
  <c r="Q109" i="27"/>
  <c r="P109" i="27"/>
  <c r="V105" i="27"/>
  <c r="T105" i="27"/>
  <c r="R105" i="27"/>
  <c r="P105" i="27"/>
  <c r="Q102" i="27"/>
  <c r="AZ101" i="27"/>
  <c r="Q101" i="27"/>
  <c r="Q96" i="27"/>
  <c r="P96" i="27"/>
  <c r="Z87" i="27"/>
  <c r="Z178" i="27" s="1"/>
  <c r="Y87" i="27"/>
  <c r="Y178" i="27" s="1"/>
  <c r="W87" i="27"/>
  <c r="W178" i="27" s="1"/>
  <c r="V87" i="27"/>
  <c r="T87" i="27"/>
  <c r="T178" i="27" s="1"/>
  <c r="R87" i="27"/>
  <c r="P87" i="27"/>
  <c r="Q83" i="27"/>
  <c r="Q87" i="27" s="1"/>
  <c r="Z72" i="27"/>
  <c r="Y72" i="27"/>
  <c r="X72" i="27"/>
  <c r="W72" i="27"/>
  <c r="V72" i="27"/>
  <c r="U72" i="27"/>
  <c r="T72" i="27"/>
  <c r="AE33" i="31"/>
  <c r="Z68" i="27"/>
  <c r="E36" i="31" s="1"/>
  <c r="U68" i="27"/>
  <c r="S68" i="27"/>
  <c r="R68" i="27"/>
  <c r="Q68" i="27"/>
  <c r="Y66" i="27"/>
  <c r="X66" i="27"/>
  <c r="V66" i="27"/>
  <c r="T66" i="27"/>
  <c r="Y65" i="27"/>
  <c r="X65" i="27"/>
  <c r="V65" i="27"/>
  <c r="V70" i="27" s="1"/>
  <c r="T65" i="27"/>
  <c r="S58" i="27"/>
  <c r="Q58" i="27"/>
  <c r="Q59" i="27" s="1"/>
  <c r="Z56" i="27"/>
  <c r="Z58" i="27" s="1"/>
  <c r="Y56" i="27"/>
  <c r="Y58" i="27" s="1"/>
  <c r="Y59" i="27" s="1"/>
  <c r="X56" i="27"/>
  <c r="W56" i="27"/>
  <c r="W58" i="27" s="1"/>
  <c r="W59" i="27" s="1"/>
  <c r="V56" i="27"/>
  <c r="V564" i="27" s="1"/>
  <c r="U56" i="27"/>
  <c r="U58" i="27" s="1"/>
  <c r="U59" i="27" s="1"/>
  <c r="T56" i="27"/>
  <c r="R56" i="27"/>
  <c r="R58" i="27" s="1"/>
  <c r="P56" i="27"/>
  <c r="P58" i="27" s="1"/>
  <c r="W46" i="27"/>
  <c r="W497" i="27" s="1"/>
  <c r="V46" i="27"/>
  <c r="V497" i="27" s="1"/>
  <c r="U46" i="27"/>
  <c r="T46" i="27"/>
  <c r="T497" i="27" s="1"/>
  <c r="S46" i="27"/>
  <c r="R46" i="27"/>
  <c r="R497" i="27" s="1"/>
  <c r="Q46" i="27"/>
  <c r="P46" i="27"/>
  <c r="P497" i="27" s="1"/>
  <c r="Z45" i="27"/>
  <c r="Z46" i="27" s="1"/>
  <c r="Y45" i="27"/>
  <c r="Y46" i="27" s="1"/>
  <c r="X45" i="27"/>
  <c r="X46" i="27" s="1"/>
  <c r="X441" i="27" s="1"/>
  <c r="Z35" i="27"/>
  <c r="Y35" i="27"/>
  <c r="Y315" i="27" s="1"/>
  <c r="X35" i="27"/>
  <c r="W35" i="27"/>
  <c r="V35" i="27"/>
  <c r="U35" i="27"/>
  <c r="T35" i="27"/>
  <c r="R35" i="27"/>
  <c r="Q35" i="27"/>
  <c r="P35" i="27"/>
  <c r="Q4" i="27"/>
  <c r="T70" i="27" l="1"/>
  <c r="D7" i="67"/>
  <c r="C7" i="67"/>
  <c r="D37" i="31"/>
  <c r="D49" i="31" s="1"/>
  <c r="C37" i="31"/>
  <c r="C49" i="31" s="1"/>
  <c r="V99" i="27"/>
  <c r="V178" i="27"/>
  <c r="X202" i="27"/>
  <c r="W149" i="27"/>
  <c r="Z59" i="27"/>
  <c r="X70" i="27"/>
  <c r="C33" i="31" s="1"/>
  <c r="X68" i="27"/>
  <c r="C36" i="31" s="1"/>
  <c r="C51" i="31" s="1"/>
  <c r="X436" i="27"/>
  <c r="X315" i="27"/>
  <c r="Z315" i="27"/>
  <c r="Y70" i="27"/>
  <c r="D33" i="31" s="1"/>
  <c r="H44" i="29"/>
  <c r="I44" i="29"/>
  <c r="Z497" i="27"/>
  <c r="Z217" i="27"/>
  <c r="E53" i="38"/>
  <c r="G44" i="29"/>
  <c r="V510" i="27"/>
  <c r="V223" i="27"/>
  <c r="V230" i="27" s="1"/>
  <c r="W510" i="27"/>
  <c r="W223" i="27"/>
  <c r="W513" i="27" s="1"/>
  <c r="X510" i="27"/>
  <c r="X223" i="27"/>
  <c r="Z510" i="27"/>
  <c r="Z223" i="27"/>
  <c r="Z513" i="27" s="1"/>
  <c r="R517" i="27"/>
  <c r="R223" i="27"/>
  <c r="T556" i="27"/>
  <c r="P499" i="27"/>
  <c r="P498" i="27"/>
  <c r="P59" i="27"/>
  <c r="R499" i="27"/>
  <c r="R59" i="27"/>
  <c r="X497" i="27"/>
  <c r="X556" i="27"/>
  <c r="E49" i="31"/>
  <c r="E51" i="31"/>
  <c r="R564" i="27"/>
  <c r="R498" i="27"/>
  <c r="T499" i="27"/>
  <c r="X499" i="27"/>
  <c r="R331" i="27"/>
  <c r="R556" i="27"/>
  <c r="R522" i="27"/>
  <c r="Q245" i="27"/>
  <c r="Q246" i="27" s="1"/>
  <c r="U522" i="27"/>
  <c r="T522" i="27"/>
  <c r="Z521" i="27"/>
  <c r="Z522" i="27"/>
  <c r="U212" i="27"/>
  <c r="D23" i="29" s="1"/>
  <c r="D28" i="29" s="1"/>
  <c r="V212" i="27"/>
  <c r="E23" i="29" s="1"/>
  <c r="E28" i="29" s="1"/>
  <c r="T217" i="27"/>
  <c r="Y513" i="27"/>
  <c r="T331" i="27"/>
  <c r="U331" i="27"/>
  <c r="Z496" i="27"/>
  <c r="V496" i="27"/>
  <c r="P522" i="27"/>
  <c r="W496" i="27"/>
  <c r="Y506" i="27"/>
  <c r="Y208" i="27"/>
  <c r="Z135" i="27"/>
  <c r="V217" i="27"/>
  <c r="P301" i="27"/>
  <c r="P303" i="27"/>
  <c r="V210" i="27"/>
  <c r="Y427" i="27"/>
  <c r="Y525" i="27"/>
  <c r="Y245" i="27"/>
  <c r="Y246" i="27" s="1"/>
  <c r="P99" i="27"/>
  <c r="P538" i="27" s="1"/>
  <c r="R212" i="27"/>
  <c r="P217" i="27"/>
  <c r="T525" i="27"/>
  <c r="Q99" i="27"/>
  <c r="Q130" i="27" s="1"/>
  <c r="T524" i="27"/>
  <c r="X214" i="27"/>
  <c r="Y331" i="27"/>
  <c r="Y212" i="27"/>
  <c r="H23" i="29" s="1"/>
  <c r="H28" i="29" s="1"/>
  <c r="S199" i="27"/>
  <c r="S212" i="27"/>
  <c r="V208" i="27"/>
  <c r="E24" i="29" s="1"/>
  <c r="E29" i="29" s="1"/>
  <c r="Z245" i="27"/>
  <c r="Z246" i="27" s="1"/>
  <c r="V170" i="27"/>
  <c r="R99" i="27"/>
  <c r="X525" i="27"/>
  <c r="V245" i="27"/>
  <c r="V246" i="27" s="1"/>
  <c r="U210" i="27"/>
  <c r="P537" i="27"/>
  <c r="R245" i="27"/>
  <c r="R246" i="27" s="1"/>
  <c r="U217" i="27"/>
  <c r="T245" i="27"/>
  <c r="T246" i="27" s="1"/>
  <c r="R170" i="27"/>
  <c r="P513" i="27"/>
  <c r="P210" i="27"/>
  <c r="X210" i="27"/>
  <c r="X519" i="27"/>
  <c r="T507" i="27"/>
  <c r="T511" i="27"/>
  <c r="T518" i="27"/>
  <c r="P212" i="27"/>
  <c r="V514" i="27"/>
  <c r="V518" i="27"/>
  <c r="V511" i="27"/>
  <c r="X507" i="27"/>
  <c r="X518" i="27"/>
  <c r="X511" i="27"/>
  <c r="R509" i="27"/>
  <c r="R512" i="27"/>
  <c r="R519" i="27"/>
  <c r="R507" i="27"/>
  <c r="R518" i="27"/>
  <c r="R511" i="27"/>
  <c r="Z212" i="27"/>
  <c r="I23" i="29" s="1"/>
  <c r="I28" i="29" s="1"/>
  <c r="Z518" i="27"/>
  <c r="Z511" i="27"/>
  <c r="T509" i="27"/>
  <c r="T512" i="27"/>
  <c r="T519" i="27"/>
  <c r="W208" i="27"/>
  <c r="F24" i="29" s="1"/>
  <c r="F29" i="29" s="1"/>
  <c r="P331" i="27"/>
  <c r="P496" i="27"/>
  <c r="P493" i="27"/>
  <c r="W217" i="27"/>
  <c r="V509" i="27"/>
  <c r="V512" i="27"/>
  <c r="V519" i="27"/>
  <c r="W210" i="27"/>
  <c r="P230" i="27"/>
  <c r="P506" i="27"/>
  <c r="W512" i="27"/>
  <c r="W519" i="27"/>
  <c r="Z509" i="27"/>
  <c r="Z519" i="27"/>
  <c r="Z512" i="27"/>
  <c r="P495" i="27"/>
  <c r="Y217" i="27"/>
  <c r="Y210" i="27"/>
  <c r="X509" i="27"/>
  <c r="X512" i="27"/>
  <c r="P521" i="27"/>
  <c r="P245" i="27"/>
  <c r="P246" i="27" s="1"/>
  <c r="W524" i="27"/>
  <c r="W509" i="27"/>
  <c r="Z515" i="27"/>
  <c r="Z508" i="27"/>
  <c r="X496" i="27"/>
  <c r="X493" i="27"/>
  <c r="W463" i="27"/>
  <c r="AA462" i="27"/>
  <c r="AA463" i="27"/>
  <c r="W448" i="27"/>
  <c r="AA448" i="27"/>
  <c r="W449" i="27"/>
  <c r="AA449" i="27"/>
  <c r="W444" i="27"/>
  <c r="AA444" i="27"/>
  <c r="W445" i="27"/>
  <c r="AA445" i="27"/>
  <c r="AA461" i="27"/>
  <c r="AQ37" i="29" s="1"/>
  <c r="W447" i="27"/>
  <c r="AA447" i="27"/>
  <c r="P61" i="27"/>
  <c r="U61" i="27"/>
  <c r="Y99" i="27"/>
  <c r="Z99" i="27"/>
  <c r="Z534" i="27" s="1"/>
  <c r="Z170" i="27"/>
  <c r="AA325" i="27"/>
  <c r="V68" i="27"/>
  <c r="Q61" i="27"/>
  <c r="T99" i="27"/>
  <c r="W212" i="27"/>
  <c r="F23" i="29" s="1"/>
  <c r="F28" i="29" s="1"/>
  <c r="R230" i="27"/>
  <c r="U245" i="27"/>
  <c r="U246" i="27" s="1"/>
  <c r="X208" i="27"/>
  <c r="G24" i="29" s="1"/>
  <c r="G29" i="29" s="1"/>
  <c r="T230" i="27"/>
  <c r="W99" i="27"/>
  <c r="W130" i="27" s="1"/>
  <c r="W245" i="27"/>
  <c r="W246" i="27" s="1"/>
  <c r="W158" i="27"/>
  <c r="X245" i="27"/>
  <c r="X246" i="27" s="1"/>
  <c r="X516" i="27"/>
  <c r="Y230" i="27"/>
  <c r="R537" i="27"/>
  <c r="Q105" i="27"/>
  <c r="T170" i="27"/>
  <c r="Y451" i="27"/>
  <c r="V452" i="27"/>
  <c r="V538" i="27"/>
  <c r="V130" i="27"/>
  <c r="V539" i="27" s="1"/>
  <c r="V534" i="27"/>
  <c r="V106" i="27"/>
  <c r="W495" i="27"/>
  <c r="W61" i="27"/>
  <c r="Y61" i="27"/>
  <c r="Z495" i="27"/>
  <c r="Z61" i="27"/>
  <c r="R495" i="27"/>
  <c r="R61" i="27"/>
  <c r="T58" i="27"/>
  <c r="P199" i="27"/>
  <c r="X199" i="27"/>
  <c r="R210" i="27"/>
  <c r="Z210" i="27"/>
  <c r="R493" i="27"/>
  <c r="V507" i="27"/>
  <c r="X508" i="27"/>
  <c r="R510" i="27"/>
  <c r="X514" i="27"/>
  <c r="R516" i="27"/>
  <c r="V517" i="27"/>
  <c r="Y68" i="27"/>
  <c r="Q199" i="27"/>
  <c r="Y199" i="27"/>
  <c r="R217" i="27"/>
  <c r="V331" i="27"/>
  <c r="T493" i="27"/>
  <c r="T510" i="27"/>
  <c r="Z514" i="27"/>
  <c r="T516" i="27"/>
  <c r="W517" i="27"/>
  <c r="V58" i="27"/>
  <c r="V59" i="27" s="1"/>
  <c r="R199" i="27"/>
  <c r="Z199" i="27"/>
  <c r="T210" i="27"/>
  <c r="W331" i="27"/>
  <c r="V493" i="27"/>
  <c r="R496" i="27"/>
  <c r="R515" i="27"/>
  <c r="V516" i="27"/>
  <c r="X517" i="27"/>
  <c r="X213" i="27"/>
  <c r="X331" i="27"/>
  <c r="W493" i="27"/>
  <c r="T496" i="27"/>
  <c r="Z507" i="27"/>
  <c r="T515" i="27"/>
  <c r="W516" i="27"/>
  <c r="Z517" i="27"/>
  <c r="R560" i="27"/>
  <c r="X58" i="27"/>
  <c r="F7" i="67" s="1"/>
  <c r="T199" i="27"/>
  <c r="T212" i="27"/>
  <c r="C23" i="29" s="1"/>
  <c r="C28" i="29" s="1"/>
  <c r="R514" i="27"/>
  <c r="V515" i="27"/>
  <c r="T560" i="27"/>
  <c r="T68" i="27"/>
  <c r="U199" i="27"/>
  <c r="Z331" i="27"/>
  <c r="Z493" i="27"/>
  <c r="T495" i="27"/>
  <c r="T514" i="27"/>
  <c r="W515" i="27"/>
  <c r="Z516" i="27"/>
  <c r="V560" i="27"/>
  <c r="V199" i="27"/>
  <c r="X217" i="27"/>
  <c r="X560" i="27"/>
  <c r="W199" i="27"/>
  <c r="Y452" i="27"/>
  <c r="W68" i="27"/>
  <c r="W443" i="27"/>
  <c r="AA68" i="27"/>
  <c r="F36" i="31" s="1"/>
  <c r="AA324" i="27"/>
  <c r="W461" i="27"/>
  <c r="D8" i="67" l="1"/>
  <c r="C8" i="67"/>
  <c r="E7" i="67"/>
  <c r="D36" i="31"/>
  <c r="D51" i="31" s="1"/>
  <c r="D53" i="31" s="1"/>
  <c r="AX9" i="29"/>
  <c r="Y457" i="27"/>
  <c r="H15" i="29" s="1"/>
  <c r="I15" i="29" s="1"/>
  <c r="Y456" i="27"/>
  <c r="Y522" i="27"/>
  <c r="H24" i="29"/>
  <c r="H29" i="29" s="1"/>
  <c r="C53" i="31"/>
  <c r="Q220" i="27"/>
  <c r="S220" i="27"/>
  <c r="X540" i="27"/>
  <c r="X59" i="27"/>
  <c r="R538" i="27"/>
  <c r="T537" i="27"/>
  <c r="X537" i="27"/>
  <c r="P130" i="27"/>
  <c r="P141" i="27" s="1"/>
  <c r="P176" i="27" s="1"/>
  <c r="W220" i="27"/>
  <c r="T564" i="27"/>
  <c r="T59" i="27"/>
  <c r="X564" i="27"/>
  <c r="E53" i="31"/>
  <c r="F51" i="31"/>
  <c r="T498" i="27"/>
  <c r="X498" i="27"/>
  <c r="X212" i="27"/>
  <c r="G23" i="29" s="1"/>
  <c r="G28" i="29" s="1"/>
  <c r="AX8" i="29" s="1"/>
  <c r="R106" i="27"/>
  <c r="P106" i="27"/>
  <c r="R506" i="27"/>
  <c r="R130" i="27"/>
  <c r="R539" i="27" s="1"/>
  <c r="R534" i="27"/>
  <c r="V503" i="27"/>
  <c r="V504" i="27"/>
  <c r="AQ38" i="29"/>
  <c r="W522" i="27"/>
  <c r="R513" i="27"/>
  <c r="X522" i="27"/>
  <c r="V522" i="27"/>
  <c r="Y106" i="27"/>
  <c r="Y534" i="27"/>
  <c r="Z537" i="27"/>
  <c r="V506" i="27"/>
  <c r="X513" i="27"/>
  <c r="Q106" i="27"/>
  <c r="Z524" i="27"/>
  <c r="Z525" i="27"/>
  <c r="V526" i="27"/>
  <c r="V540" i="27"/>
  <c r="Z540" i="27"/>
  <c r="U220" i="27"/>
  <c r="P220" i="27"/>
  <c r="Y502" i="27"/>
  <c r="P534" i="27"/>
  <c r="T506" i="27"/>
  <c r="Y537" i="27"/>
  <c r="Y504" i="27"/>
  <c r="Y503" i="27"/>
  <c r="V537" i="27"/>
  <c r="Z130" i="27"/>
  <c r="Z141" i="27" s="1"/>
  <c r="Y130" i="27"/>
  <c r="Y538" i="27"/>
  <c r="W537" i="27"/>
  <c r="Y220" i="27"/>
  <c r="T534" i="27"/>
  <c r="T130" i="27"/>
  <c r="Z538" i="27"/>
  <c r="P502" i="27"/>
  <c r="P540" i="27"/>
  <c r="Z106" i="27"/>
  <c r="X504" i="27"/>
  <c r="T540" i="27"/>
  <c r="P504" i="27"/>
  <c r="P503" i="27"/>
  <c r="W506" i="27"/>
  <c r="W230" i="27"/>
  <c r="W503" i="27" s="1"/>
  <c r="Q141" i="27"/>
  <c r="Q143" i="27" s="1"/>
  <c r="Z230" i="27"/>
  <c r="Z503" i="27" s="1"/>
  <c r="Z506" i="27"/>
  <c r="T502" i="27"/>
  <c r="T61" i="27"/>
  <c r="T538" i="27"/>
  <c r="AA453" i="27"/>
  <c r="W453" i="27"/>
  <c r="AA452" i="27"/>
  <c r="AA457" i="27" s="1"/>
  <c r="AQ15" i="29" s="1"/>
  <c r="W451" i="27"/>
  <c r="W534" i="27"/>
  <c r="T106" i="27"/>
  <c r="W170" i="27"/>
  <c r="W536" i="27"/>
  <c r="V513" i="27"/>
  <c r="W535" i="27"/>
  <c r="V535" i="27"/>
  <c r="T513" i="27"/>
  <c r="W538" i="27"/>
  <c r="V536" i="27"/>
  <c r="V141" i="27"/>
  <c r="X61" i="27"/>
  <c r="X495" i="27"/>
  <c r="Z220" i="27"/>
  <c r="R503" i="27"/>
  <c r="R504" i="27"/>
  <c r="R559" i="27"/>
  <c r="R220" i="27"/>
  <c r="R554" i="27"/>
  <c r="X554" i="27"/>
  <c r="X559" i="27"/>
  <c r="X220" i="27"/>
  <c r="R540" i="27"/>
  <c r="V495" i="27"/>
  <c r="V61" i="27"/>
  <c r="W504" i="27"/>
  <c r="V220" i="27"/>
  <c r="V559" i="27"/>
  <c r="R502" i="27"/>
  <c r="X230" i="27"/>
  <c r="X502" i="27" s="1"/>
  <c r="X506" i="27"/>
  <c r="T220" i="27"/>
  <c r="T554" i="27"/>
  <c r="T559" i="27"/>
  <c r="T503" i="27"/>
  <c r="T504" i="27"/>
  <c r="Z504" i="27"/>
  <c r="V502" i="27"/>
  <c r="W452" i="27"/>
  <c r="Z176" i="27" l="1"/>
  <c r="H9" i="29"/>
  <c r="V176" i="27"/>
  <c r="E8" i="67"/>
  <c r="C14" i="67"/>
  <c r="C13" i="67"/>
  <c r="D14" i="67"/>
  <c r="D13" i="67"/>
  <c r="F8" i="67"/>
  <c r="I9" i="29"/>
  <c r="Y221" i="27"/>
  <c r="Y63" i="27"/>
  <c r="AI9" i="29"/>
  <c r="H14" i="29"/>
  <c r="Y459" i="27"/>
  <c r="AA458" i="27"/>
  <c r="AQ16" i="29" s="1"/>
  <c r="J16" i="29" s="1"/>
  <c r="P221" i="27"/>
  <c r="P63" i="27"/>
  <c r="T221" i="27"/>
  <c r="T63" i="27"/>
  <c r="R221" i="27"/>
  <c r="R63" i="27"/>
  <c r="W221" i="27"/>
  <c r="W63" i="27"/>
  <c r="F18" i="29" s="1"/>
  <c r="F31" i="29" s="1"/>
  <c r="X221" i="27"/>
  <c r="X63" i="27"/>
  <c r="G18" i="29" s="1"/>
  <c r="G31" i="29" s="1"/>
  <c r="AI8" i="29"/>
  <c r="U221" i="27"/>
  <c r="U63" i="27"/>
  <c r="D18" i="29" s="1"/>
  <c r="D31" i="29" s="1"/>
  <c r="S221" i="27"/>
  <c r="S63" i="27"/>
  <c r="V221" i="27"/>
  <c r="V63" i="27"/>
  <c r="E18" i="29" s="1"/>
  <c r="E31" i="29" s="1"/>
  <c r="Q221" i="27"/>
  <c r="Q63" i="27"/>
  <c r="Z221" i="27"/>
  <c r="Z63" i="27"/>
  <c r="AT14" i="31"/>
  <c r="J15" i="29"/>
  <c r="P539" i="27"/>
  <c r="X219" i="27"/>
  <c r="P535" i="27"/>
  <c r="P143" i="27"/>
  <c r="C4" i="67" s="1"/>
  <c r="C12" i="67" s="1"/>
  <c r="P536" i="27"/>
  <c r="Z539" i="27"/>
  <c r="R141" i="27"/>
  <c r="R176" i="27" s="1"/>
  <c r="R535" i="27"/>
  <c r="R536" i="27"/>
  <c r="K15" i="29"/>
  <c r="Y141" i="27"/>
  <c r="Y526" i="27"/>
  <c r="Z536" i="27"/>
  <c r="Z526" i="27"/>
  <c r="T539" i="27"/>
  <c r="T526" i="27"/>
  <c r="Z535" i="27"/>
  <c r="T141" i="27"/>
  <c r="T176" i="27" s="1"/>
  <c r="Z502" i="27"/>
  <c r="T536" i="27"/>
  <c r="T535" i="27"/>
  <c r="W502" i="27"/>
  <c r="Z143" i="27"/>
  <c r="V143" i="27"/>
  <c r="X503" i="27"/>
  <c r="F14" i="67" l="1"/>
  <c r="F13" i="67"/>
  <c r="E14" i="67"/>
  <c r="E13" i="67"/>
  <c r="K16" i="29"/>
  <c r="K10" i="29" s="1"/>
  <c r="W533" i="27"/>
  <c r="Z533" i="27"/>
  <c r="V533" i="27"/>
  <c r="R533" i="27"/>
  <c r="P533" i="27"/>
  <c r="C18" i="29"/>
  <c r="C42" i="38"/>
  <c r="AQ10" i="29"/>
  <c r="I18" i="29"/>
  <c r="I31" i="29" s="1"/>
  <c r="E42" i="38"/>
  <c r="I14" i="29"/>
  <c r="H8" i="29"/>
  <c r="H12" i="29"/>
  <c r="H18" i="29"/>
  <c r="H31" i="29" s="1"/>
  <c r="D42" i="38"/>
  <c r="T533" i="27"/>
  <c r="V545" i="27"/>
  <c r="Z545" i="27"/>
  <c r="Y143" i="27"/>
  <c r="Y545" i="27" s="1"/>
  <c r="Y176" i="27"/>
  <c r="P175" i="27"/>
  <c r="P544" i="27"/>
  <c r="P543" i="27"/>
  <c r="R143" i="27"/>
  <c r="D4" i="67" s="1"/>
  <c r="D12" i="67" s="1"/>
  <c r="V544" i="27"/>
  <c r="J10" i="29"/>
  <c r="Z543" i="27"/>
  <c r="T143" i="27"/>
  <c r="E4" i="67" s="1"/>
  <c r="E12" i="67" s="1"/>
  <c r="Z175" i="27"/>
  <c r="Z550" i="27" s="1"/>
  <c r="Z544" i="27"/>
  <c r="V543" i="27"/>
  <c r="V175" i="27"/>
  <c r="V550" i="27" s="1"/>
  <c r="P549" i="27" l="1"/>
  <c r="C5" i="67"/>
  <c r="C16" i="67" s="1"/>
  <c r="C18" i="67"/>
  <c r="Y544" i="27"/>
  <c r="Y543" i="27"/>
  <c r="Y175" i="27"/>
  <c r="Y548" i="27" s="1"/>
  <c r="I12" i="29"/>
  <c r="I8" i="29"/>
  <c r="H41" i="29"/>
  <c r="H33" i="29" s="1"/>
  <c r="H6" i="29"/>
  <c r="C31" i="29"/>
  <c r="AX6" i="29"/>
  <c r="T545" i="27"/>
  <c r="R545" i="27"/>
  <c r="P548" i="27"/>
  <c r="R544" i="27"/>
  <c r="D18" i="67" s="1"/>
  <c r="R175" i="27"/>
  <c r="R543" i="27"/>
  <c r="T175" i="27"/>
  <c r="E5" i="67" s="1"/>
  <c r="E16" i="67" s="1"/>
  <c r="T544" i="27"/>
  <c r="T543" i="27"/>
  <c r="Z549" i="27"/>
  <c r="Z548" i="27"/>
  <c r="V549" i="27"/>
  <c r="V548" i="27"/>
  <c r="Y550" i="27" l="1"/>
  <c r="Y549" i="27"/>
  <c r="R549" i="27"/>
  <c r="D5" i="67"/>
  <c r="D16" i="67" s="1"/>
  <c r="E18" i="67"/>
  <c r="AI12" i="29"/>
  <c r="I6" i="29"/>
  <c r="I41" i="29"/>
  <c r="I33" i="29" s="1"/>
  <c r="R548" i="27"/>
  <c r="T548" i="27"/>
  <c r="T550" i="27"/>
  <c r="W462" i="27"/>
  <c r="W464" i="27" s="1"/>
  <c r="W371" i="27"/>
  <c r="AI6" i="29" l="1"/>
  <c r="AI41" i="29"/>
  <c r="AI33" i="29" s="1"/>
  <c r="W105" i="27"/>
  <c r="W526" i="27" s="1"/>
  <c r="W141" i="27" l="1"/>
  <c r="W176" i="27" s="1"/>
  <c r="W106" i="27"/>
  <c r="W540" i="27"/>
  <c r="W539" i="27"/>
  <c r="W143" i="27" l="1"/>
  <c r="W545" i="27" l="1"/>
  <c r="W544" i="27"/>
  <c r="W175" i="27"/>
  <c r="W550" i="27" s="1"/>
  <c r="W543" i="27"/>
  <c r="W549" i="27" l="1"/>
  <c r="W548" i="27"/>
  <c r="W488" i="27" l="1"/>
  <c r="W425" i="27" l="1"/>
  <c r="W427" i="27" l="1"/>
  <c r="AA515" i="27" l="1"/>
  <c r="AA516" i="27" l="1"/>
  <c r="AA517" i="27"/>
  <c r="AA519" i="27" l="1"/>
  <c r="AA518" i="27"/>
  <c r="AA514" i="27" l="1"/>
  <c r="AA513" i="27" l="1"/>
  <c r="AA208" i="27" l="1"/>
  <c r="AA210" i="27"/>
  <c r="AA522" i="27" l="1"/>
  <c r="J24" i="29"/>
  <c r="AA503" i="27"/>
  <c r="AA308" i="27" l="1"/>
  <c r="AA243" i="27" l="1"/>
  <c r="F40" i="31" s="1"/>
  <c r="AA249" i="27"/>
  <c r="AA238" i="27" l="1"/>
  <c r="F37" i="31" s="1"/>
  <c r="F49" i="31" l="1"/>
  <c r="AA245" i="27"/>
  <c r="AA563" i="27"/>
  <c r="AA246" i="27" l="1"/>
  <c r="AA163" i="27" l="1"/>
  <c r="AA166" i="27" l="1"/>
  <c r="AA158" i="27" l="1"/>
  <c r="AA72" i="27" l="1"/>
  <c r="AA150" i="27" l="1"/>
  <c r="AA149" i="27" s="1"/>
  <c r="AA512" i="27" l="1"/>
  <c r="AA214" i="27"/>
  <c r="AA510" i="27"/>
  <c r="AA213" i="27"/>
  <c r="AA189" i="27"/>
  <c r="AA509" i="27"/>
  <c r="AA198" i="27" l="1"/>
  <c r="F53" i="38" s="1"/>
  <c r="AA217" i="27" l="1"/>
  <c r="AA74" i="27" l="1"/>
  <c r="J22" i="29" l="1"/>
  <c r="J29" i="29" s="1"/>
  <c r="AA109" i="27"/>
  <c r="AQ35" i="29" l="1"/>
  <c r="AA464" i="27"/>
  <c r="AQ9" i="29"/>
  <c r="J9" i="29"/>
  <c r="AA216" i="27"/>
  <c r="AA508" i="27"/>
  <c r="AA507" i="27" l="1"/>
  <c r="AA511" i="27"/>
  <c r="AA215" i="27"/>
  <c r="AA190" i="27"/>
  <c r="AA212" i="27" l="1"/>
  <c r="J23" i="29" s="1"/>
  <c r="J28" i="29" s="1"/>
  <c r="AA199" i="27"/>
  <c r="AA506" i="27"/>
  <c r="AA540" i="27" l="1"/>
  <c r="AA494" i="27"/>
  <c r="AA554" i="27"/>
  <c r="AA220" i="27"/>
  <c r="AA63" i="27" s="1"/>
  <c r="J18" i="29" s="1"/>
  <c r="AA502" i="27"/>
  <c r="AA504" i="27"/>
  <c r="F42" i="38" l="1"/>
  <c r="J31" i="29"/>
  <c r="AA221" i="27"/>
  <c r="AA559" i="27"/>
  <c r="F53" i="31" l="1"/>
  <c r="AA529" i="27" l="1"/>
  <c r="AA530" i="27" l="1"/>
  <c r="AA35" i="27"/>
  <c r="AA315" i="27" s="1"/>
  <c r="AA556" i="27" l="1"/>
  <c r="J44" i="29"/>
  <c r="AA156" i="27"/>
  <c r="AA155" i="27" s="1"/>
  <c r="AA331" i="27"/>
  <c r="AA493" i="27"/>
  <c r="AA496" i="27"/>
  <c r="AA170" i="27" l="1"/>
  <c r="AA56" i="27" l="1"/>
  <c r="AA58" i="27" l="1"/>
  <c r="AA59" i="27" s="1"/>
  <c r="AA564" i="27"/>
  <c r="AA46" i="27"/>
  <c r="AA560" i="27" l="1"/>
  <c r="AA495" i="27"/>
  <c r="AA61" i="27"/>
  <c r="AA497" i="27"/>
  <c r="AA87" i="27" l="1"/>
  <c r="AA178" i="27" s="1"/>
  <c r="AB308" i="27" l="1"/>
  <c r="AB515" i="27" l="1"/>
  <c r="AB516" i="27" l="1"/>
  <c r="AB519" i="27"/>
  <c r="AB517" i="27"/>
  <c r="AB514" i="27"/>
  <c r="AB518" i="27"/>
  <c r="AB230" i="27" l="1"/>
  <c r="AB513" i="27"/>
  <c r="AB503" i="27" l="1"/>
  <c r="X308" i="27"/>
  <c r="X87" i="27" l="1"/>
  <c r="X99" i="27" l="1"/>
  <c r="X178" i="27"/>
  <c r="X533" i="27"/>
  <c r="X130" i="27"/>
  <c r="X570" i="27" s="1"/>
  <c r="X538" i="27"/>
  <c r="X534" i="27"/>
  <c r="X106" i="27"/>
  <c r="X536" i="27" l="1"/>
  <c r="X539" i="27"/>
  <c r="X141" i="27"/>
  <c r="X526" i="27"/>
  <c r="X535" i="27"/>
  <c r="X176" i="27" l="1"/>
  <c r="X143" i="27"/>
  <c r="F4" i="67" s="1"/>
  <c r="F12" i="67" s="1"/>
  <c r="X544" i="27" l="1"/>
  <c r="X545" i="27"/>
  <c r="X543" i="27"/>
  <c r="X175" i="27"/>
  <c r="F18" i="67" l="1"/>
  <c r="X550" i="27"/>
  <c r="F5" i="67"/>
  <c r="F16" i="67" s="1"/>
  <c r="X548" i="27"/>
  <c r="X549" i="27"/>
  <c r="AB429" i="27" l="1"/>
  <c r="AB425" i="27"/>
  <c r="AB102" i="27"/>
  <c r="AB427" i="27" l="1"/>
  <c r="AB243" i="27" l="1"/>
  <c r="G40" i="31" s="1"/>
  <c r="AB238" i="27" l="1"/>
  <c r="G37" i="31" s="1"/>
  <c r="AB245" i="27" l="1"/>
  <c r="G49" i="31" l="1"/>
  <c r="AT8" i="31" s="1"/>
  <c r="AB246" i="27"/>
  <c r="AB160" i="27" l="1"/>
  <c r="AB163" i="27" l="1"/>
  <c r="AB158" i="27" l="1"/>
  <c r="AB109" i="27"/>
  <c r="AB464" i="27" s="1"/>
  <c r="AB510" i="27" l="1"/>
  <c r="AB214" i="27"/>
  <c r="AB198" i="27" l="1"/>
  <c r="AB216" i="27"/>
  <c r="AB508" i="27"/>
  <c r="AB512" i="27"/>
  <c r="AB189" i="27"/>
  <c r="AB213" i="27"/>
  <c r="AB509" i="27"/>
  <c r="AB555" i="27" l="1"/>
  <c r="G53" i="38"/>
  <c r="AR16" i="38" s="1"/>
  <c r="AB217" i="27"/>
  <c r="AB511" i="27" l="1"/>
  <c r="AB215" i="27"/>
  <c r="AB507" i="27"/>
  <c r="AB190" i="27"/>
  <c r="AB200" i="27" l="1"/>
  <c r="AB212" i="27"/>
  <c r="K23" i="29" s="1"/>
  <c r="K28" i="29" s="1"/>
  <c r="AB506" i="27"/>
  <c r="AB199" i="27"/>
  <c r="AB540" i="27" s="1"/>
  <c r="AY8" i="29" l="1"/>
  <c r="AB219" i="27"/>
  <c r="AB554" i="27"/>
  <c r="AB502" i="27"/>
  <c r="AB504" i="27"/>
  <c r="AB220" i="27"/>
  <c r="AB559" i="27" l="1"/>
  <c r="AB63" i="27"/>
  <c r="AB135" i="27"/>
  <c r="AB568" i="27" l="1"/>
  <c r="AB524" i="27"/>
  <c r="AB525" i="27"/>
  <c r="AT6" i="31" l="1"/>
  <c r="AB537" i="27"/>
  <c r="AB156" i="27"/>
  <c r="AB155" i="27" s="1"/>
  <c r="G53" i="31" l="1"/>
  <c r="AB72" i="27"/>
  <c r="AB530" i="27"/>
  <c r="AB221" i="27" l="1"/>
  <c r="AB74" i="27" l="1"/>
  <c r="K22" i="29" l="1"/>
  <c r="K29" i="29" s="1"/>
  <c r="AB46" i="27"/>
  <c r="AB441" i="27" s="1"/>
  <c r="AB35" i="27"/>
  <c r="AB436" i="27" l="1"/>
  <c r="AB315" i="27"/>
  <c r="K18" i="29"/>
  <c r="G42" i="38"/>
  <c r="AY9" i="29"/>
  <c r="K9" i="29"/>
  <c r="K44" i="29"/>
  <c r="AB569" i="27"/>
  <c r="AB556" i="27"/>
  <c r="AB499" i="27"/>
  <c r="AB331" i="27"/>
  <c r="AB496" i="27"/>
  <c r="AB493" i="27"/>
  <c r="AB497" i="27"/>
  <c r="AB56" i="27"/>
  <c r="K31" i="29" l="1"/>
  <c r="AY6" i="29"/>
  <c r="AB58" i="27"/>
  <c r="G7" i="67" s="1"/>
  <c r="AB87" i="27"/>
  <c r="AB178" i="27" s="1"/>
  <c r="AB59" i="27" l="1"/>
  <c r="AB99" i="27"/>
  <c r="AR18" i="38"/>
  <c r="AR6" i="38" s="1"/>
  <c r="AB564" i="27"/>
  <c r="AB498" i="27"/>
  <c r="AB560" i="27"/>
  <c r="AB61" i="27"/>
  <c r="AB495" i="27"/>
  <c r="G8" i="67" l="1"/>
  <c r="AB533" i="27"/>
  <c r="AB538" i="27"/>
  <c r="AB106" i="27"/>
  <c r="AB130" i="27"/>
  <c r="AB534" i="27"/>
  <c r="G14" i="67" l="1"/>
  <c r="G13" i="67"/>
  <c r="AB526" i="27"/>
  <c r="AB570" i="27"/>
  <c r="AB170" i="27"/>
  <c r="AB536" i="27"/>
  <c r="AB539" i="27"/>
  <c r="AB141" i="27"/>
  <c r="AB431" i="27" s="1"/>
  <c r="AB535" i="27"/>
  <c r="AB176" i="27" l="1"/>
  <c r="AB143" i="27"/>
  <c r="G4" i="67" s="1"/>
  <c r="G12" i="67" s="1"/>
  <c r="AB545" i="27" l="1"/>
  <c r="AB544" i="27"/>
  <c r="AB543" i="27"/>
  <c r="AB175" i="27"/>
  <c r="AB550" i="27" l="1"/>
  <c r="G5" i="67"/>
  <c r="G16" i="67" s="1"/>
  <c r="G18" i="67"/>
  <c r="AB548" i="27"/>
  <c r="AB549" i="27"/>
  <c r="H56" i="30" l="1"/>
  <c r="H28" i="32" l="1"/>
  <c r="H57" i="30"/>
  <c r="H27" i="32"/>
  <c r="AC310" i="27" l="1"/>
  <c r="AC311" i="27"/>
  <c r="AC448" i="27" l="1"/>
  <c r="AC447" i="27" l="1"/>
  <c r="AC443" i="27" l="1"/>
  <c r="AC451" i="27" s="1"/>
  <c r="AC456" i="27" s="1"/>
  <c r="L14" i="29" l="1"/>
  <c r="AC461" i="27"/>
  <c r="M14" i="29" l="1"/>
  <c r="AC445" i="27"/>
  <c r="AC453" i="27" s="1"/>
  <c r="AC458" i="27" s="1"/>
  <c r="L16" i="29" s="1"/>
  <c r="M16" i="29" s="1"/>
  <c r="AC462" i="27" l="1"/>
  <c r="AC463" i="27" l="1"/>
  <c r="AC444" i="27" l="1"/>
  <c r="AC452" i="27" s="1"/>
  <c r="AC457" i="27" s="1"/>
  <c r="L15" i="29" l="1"/>
  <c r="AC459" i="27"/>
  <c r="M15" i="29" l="1"/>
  <c r="M12" i="29" s="1"/>
  <c r="M41" i="29" s="1"/>
  <c r="L12" i="29"/>
  <c r="L41" i="29" s="1"/>
  <c r="AC371" i="27"/>
  <c r="AC428" i="27" l="1"/>
  <c r="AC430" i="27" l="1"/>
  <c r="AD515" i="27" l="1"/>
  <c r="AD216" i="27"/>
  <c r="AD516" i="27" l="1"/>
  <c r="AD213" i="27"/>
  <c r="AD214" i="27" l="1"/>
  <c r="AD517" i="27"/>
  <c r="AD519" i="27"/>
  <c r="AD215" i="27" l="1"/>
  <c r="AD518" i="27"/>
  <c r="AD514" i="27"/>
  <c r="AD212" i="27" l="1"/>
  <c r="M23" i="29" s="1"/>
  <c r="M28" i="29" s="1"/>
  <c r="AD513" i="27"/>
  <c r="AD219" i="27" l="1"/>
  <c r="AD522" i="27" l="1"/>
  <c r="AD207" i="27"/>
  <c r="AD210" i="27" s="1"/>
  <c r="AD217" i="27" l="1"/>
  <c r="AD220" i="27"/>
  <c r="AD63" i="27" s="1"/>
  <c r="AD504" i="27"/>
  <c r="AD503" i="27"/>
  <c r="M18" i="29" l="1"/>
  <c r="M31" i="29" s="1"/>
  <c r="I42" i="38"/>
  <c r="AD221" i="27"/>
  <c r="AD559" i="27"/>
  <c r="AC515" i="27" l="1"/>
  <c r="AC516" i="27" l="1"/>
  <c r="AC517" i="27" l="1"/>
  <c r="AC519" i="27"/>
  <c r="AC514" i="27" l="1"/>
  <c r="AC518" i="27"/>
  <c r="AC513" i="27" l="1"/>
  <c r="AC522" i="27" l="1"/>
  <c r="H29" i="31" l="1"/>
  <c r="H52" i="30" l="1"/>
  <c r="H54" i="30"/>
  <c r="H11" i="30" l="1"/>
  <c r="H16" i="30"/>
  <c r="H9" i="30"/>
  <c r="H14" i="30"/>
  <c r="H20" i="32"/>
  <c r="H22" i="32"/>
  <c r="AC508" i="27"/>
  <c r="AC216" i="27"/>
  <c r="AC214" i="27"/>
  <c r="AC510" i="27"/>
  <c r="AF11" i="32" l="1"/>
  <c r="I11" i="32"/>
  <c r="H14" i="32"/>
  <c r="H11" i="32"/>
  <c r="I14" i="32"/>
  <c r="AF14" i="32"/>
  <c r="AC429" i="27"/>
  <c r="AC427" i="27" l="1"/>
  <c r="AC425" i="27" l="1"/>
  <c r="AC159" i="27" l="1"/>
  <c r="H60" i="30" l="1"/>
  <c r="H31" i="32"/>
  <c r="AC249" i="27" l="1"/>
  <c r="AC248" i="27" l="1"/>
  <c r="AC243" i="27"/>
  <c r="H40" i="31" s="1"/>
  <c r="H50" i="31"/>
  <c r="AC238" i="27"/>
  <c r="H37" i="31" l="1"/>
  <c r="H49" i="31" s="1"/>
  <c r="H8" i="31" s="1"/>
  <c r="AC245" i="27"/>
  <c r="AC246" i="27" l="1"/>
  <c r="AC166" i="27" l="1"/>
  <c r="H59" i="30" l="1"/>
  <c r="H30" i="32"/>
  <c r="AC163" i="27" l="1"/>
  <c r="AC158" i="27" s="1"/>
  <c r="AC135" i="27" l="1"/>
  <c r="AC568" i="27" l="1"/>
  <c r="AC524" i="27"/>
  <c r="H30" i="31" l="1"/>
  <c r="H27" i="31" l="1"/>
  <c r="H25" i="31" s="1"/>
  <c r="AC96" i="27" l="1"/>
  <c r="H16" i="31" s="1"/>
  <c r="AC109" i="27" l="1"/>
  <c r="AC464" i="27" s="1"/>
  <c r="AC525" i="27" l="1"/>
  <c r="H53" i="30" l="1"/>
  <c r="H10" i="30" l="1"/>
  <c r="H15" i="30"/>
  <c r="H21" i="32"/>
  <c r="AC509" i="27"/>
  <c r="AC213" i="27"/>
  <c r="AC189" i="27"/>
  <c r="AC512" i="27"/>
  <c r="H61" i="30" l="1"/>
  <c r="AC521" i="27"/>
  <c r="H24" i="32"/>
  <c r="I13" i="32"/>
  <c r="H13" i="32"/>
  <c r="AF13" i="32"/>
  <c r="H32" i="32"/>
  <c r="H51" i="30"/>
  <c r="I12" i="32" l="1"/>
  <c r="H50" i="30"/>
  <c r="H13" i="30"/>
  <c r="H8" i="30"/>
  <c r="H17" i="30"/>
  <c r="H18" i="30"/>
  <c r="AF12" i="32"/>
  <c r="H12" i="32"/>
  <c r="H34" i="32"/>
  <c r="H19" i="32"/>
  <c r="AC190" i="27"/>
  <c r="AC200" i="27"/>
  <c r="AC507" i="27"/>
  <c r="AC511" i="27"/>
  <c r="AC215" i="27"/>
  <c r="H23" i="32" l="1"/>
  <c r="AF8" i="32" s="1"/>
  <c r="H7" i="30"/>
  <c r="H12" i="30"/>
  <c r="AF15" i="32"/>
  <c r="AF10" i="32"/>
  <c r="I10" i="32"/>
  <c r="H25" i="32"/>
  <c r="H10" i="32"/>
  <c r="AC212" i="27"/>
  <c r="AC506" i="27"/>
  <c r="AC219" i="27" l="1"/>
  <c r="L23" i="29"/>
  <c r="L28" i="29" s="1"/>
  <c r="AF9" i="32"/>
  <c r="H9" i="32"/>
  <c r="I8" i="32"/>
  <c r="I9" i="32"/>
  <c r="H8" i="32"/>
  <c r="AJ8" i="29" l="1"/>
  <c r="L8" i="29"/>
  <c r="M8" i="29" l="1"/>
  <c r="H51" i="31" l="1"/>
  <c r="H14" i="31" l="1"/>
  <c r="AF6" i="31"/>
  <c r="AD537" i="27"/>
  <c r="AC537" i="27"/>
  <c r="H53" i="31" l="1"/>
  <c r="H6" i="31"/>
  <c r="AC156" i="27"/>
  <c r="AC155" i="27" s="1"/>
  <c r="AC74" i="27" l="1"/>
  <c r="L22" i="29" l="1"/>
  <c r="L29" i="29" s="1"/>
  <c r="L9" i="29" s="1"/>
  <c r="AC494" i="27"/>
  <c r="M9" i="29" l="1"/>
  <c r="AR9" i="29"/>
  <c r="AJ9" i="29"/>
  <c r="AC210" i="27"/>
  <c r="AC503" i="27" l="1"/>
  <c r="AC529" i="27" l="1"/>
  <c r="AC72" i="27"/>
  <c r="AC308" i="27"/>
  <c r="AC530" i="27"/>
  <c r="AC150" i="27" l="1"/>
  <c r="AC149" i="27" s="1"/>
  <c r="AC46" i="27"/>
  <c r="AC497" i="27" l="1"/>
  <c r="AC441" i="27"/>
  <c r="AC170" i="27"/>
  <c r="AC35" i="27" l="1"/>
  <c r="AC436" i="27" s="1"/>
  <c r="AD543" i="27" l="1"/>
  <c r="L44" i="29"/>
  <c r="AJ33" i="29" s="1"/>
  <c r="AD569" i="27"/>
  <c r="AD548" i="27"/>
  <c r="AC331" i="27"/>
  <c r="AD534" i="27"/>
  <c r="AC496" i="27"/>
  <c r="AC493" i="27"/>
  <c r="AC56" i="27"/>
  <c r="AC58" i="27" s="1"/>
  <c r="AC59" i="27" s="1"/>
  <c r="L33" i="29" l="1"/>
  <c r="AD550" i="27"/>
  <c r="AD545" i="27"/>
  <c r="M33" i="29"/>
  <c r="AD549" i="27"/>
  <c r="AC61" i="27"/>
  <c r="AC560" i="27"/>
  <c r="AD544" i="27"/>
  <c r="AC495" i="27"/>
  <c r="H58" i="30" l="1"/>
  <c r="H62" i="30" s="1"/>
  <c r="H64" i="30" s="1"/>
  <c r="H19" i="30" l="1"/>
  <c r="H20" i="30"/>
  <c r="AC312" i="27"/>
  <c r="AC314" i="27" s="1"/>
  <c r="AC315" i="27" s="1"/>
  <c r="H29" i="32"/>
  <c r="AC198" i="27"/>
  <c r="H53" i="38" s="1"/>
  <c r="H33" i="32" l="1"/>
  <c r="AC217" i="27"/>
  <c r="AC199" i="27"/>
  <c r="H36" i="32" l="1"/>
  <c r="H6" i="32" s="1"/>
  <c r="L10" i="29"/>
  <c r="M10" i="29"/>
  <c r="AC540" i="27"/>
  <c r="AD540" i="27"/>
  <c r="AC502" i="27"/>
  <c r="AC220" i="27"/>
  <c r="AC63" i="27" s="1"/>
  <c r="L18" i="29" s="1"/>
  <c r="AC504" i="27"/>
  <c r="M6" i="29" l="1"/>
  <c r="L6" i="29"/>
  <c r="AD533" i="27"/>
  <c r="H42" i="38"/>
  <c r="AE6" i="38" s="1"/>
  <c r="L31" i="29"/>
  <c r="AJ6" i="29"/>
  <c r="AF6" i="32"/>
  <c r="I6" i="32"/>
  <c r="AC221" i="27"/>
  <c r="AC559" i="27"/>
  <c r="J26" i="30" l="1"/>
  <c r="J25" i="30"/>
  <c r="J23" i="30" l="1"/>
  <c r="J46" i="30" l="1"/>
  <c r="J32" i="30"/>
  <c r="J45" i="30" l="1"/>
  <c r="AE230" i="27"/>
  <c r="J60" i="30" l="1"/>
  <c r="J31" i="32"/>
  <c r="AN31" i="32" s="1"/>
  <c r="AA96" i="27" l="1"/>
  <c r="AM16" i="31" s="1"/>
  <c r="AA537" i="27" l="1"/>
  <c r="AA99" i="27"/>
  <c r="AA534" i="27" l="1"/>
  <c r="AA130" i="27"/>
  <c r="AA536" i="27" s="1"/>
  <c r="AA533" i="27"/>
  <c r="AA535" i="27" l="1"/>
  <c r="J56" i="30" l="1"/>
  <c r="J27" i="32"/>
  <c r="AN27" i="32" s="1"/>
  <c r="J57" i="30" l="1"/>
  <c r="J28" i="32"/>
  <c r="AN28" i="32" s="1"/>
  <c r="AE310" i="27" l="1"/>
  <c r="J58" i="30" l="1"/>
  <c r="J29" i="32"/>
  <c r="AN29" i="32" s="1"/>
  <c r="AE425" i="27" l="1"/>
  <c r="AE429" i="27"/>
  <c r="AE427" i="27" l="1"/>
  <c r="AE249" i="27" l="1"/>
  <c r="AE243" i="27" l="1"/>
  <c r="J40" i="31" s="1"/>
  <c r="AE248" i="27"/>
  <c r="J50" i="31" l="1"/>
  <c r="AE238" i="27"/>
  <c r="J37" i="31" s="1"/>
  <c r="AE245" i="27" l="1"/>
  <c r="AN11" i="31" l="1"/>
  <c r="J49" i="31"/>
  <c r="AN8" i="31" l="1"/>
  <c r="AE563" i="27" l="1"/>
  <c r="AE246" i="27"/>
  <c r="J59" i="30" l="1"/>
  <c r="J30" i="32"/>
  <c r="AN30" i="32" s="1"/>
  <c r="AE159" i="27" l="1"/>
  <c r="AN29" i="31" l="1"/>
  <c r="AE163" i="27" l="1"/>
  <c r="AE166" i="27" l="1"/>
  <c r="AE312" i="27"/>
  <c r="AE314" i="27" s="1"/>
  <c r="AE158" i="27" l="1"/>
  <c r="J76" i="30"/>
  <c r="J51" i="31" l="1"/>
  <c r="J53" i="31" l="1"/>
  <c r="AN30" i="31" l="1"/>
  <c r="AN27" i="31" l="1"/>
  <c r="AN25" i="31" s="1"/>
  <c r="AN14" i="31" l="1"/>
  <c r="AE96" i="27"/>
  <c r="AE150" i="27"/>
  <c r="AE149" i="27" s="1"/>
  <c r="AE537" i="27" l="1"/>
  <c r="AN16" i="31"/>
  <c r="AN6" i="31" l="1"/>
  <c r="AE109" i="27" l="1"/>
  <c r="AE464" i="27" s="1"/>
  <c r="AR35" i="29" l="1"/>
  <c r="AE135" i="27" l="1"/>
  <c r="AE568" i="27" l="1"/>
  <c r="AE524" i="27"/>
  <c r="AE525" i="27"/>
  <c r="AE529" i="27" l="1"/>
  <c r="AE530" i="27"/>
  <c r="AE72" i="27"/>
  <c r="AE308" i="27"/>
  <c r="N10" i="29" l="1"/>
  <c r="AE156" i="27" l="1"/>
  <c r="AE155" i="27" s="1"/>
  <c r="AE170" i="27" l="1"/>
  <c r="J20" i="32" l="1"/>
  <c r="AE508" i="27"/>
  <c r="J52" i="30"/>
  <c r="AN20" i="32" l="1"/>
  <c r="J9" i="30"/>
  <c r="J14" i="30"/>
  <c r="AN11" i="32"/>
  <c r="J11" i="32"/>
  <c r="AE511" i="27" l="1"/>
  <c r="J19" i="32"/>
  <c r="AE507" i="27"/>
  <c r="AE190" i="27"/>
  <c r="J51" i="30"/>
  <c r="J13" i="30" s="1"/>
  <c r="AN19" i="32" l="1"/>
  <c r="J8" i="30"/>
  <c r="AN10" i="32"/>
  <c r="J25" i="32"/>
  <c r="J10" i="32"/>
  <c r="AN25" i="32" l="1"/>
  <c r="AN9" i="32"/>
  <c r="J9" i="32"/>
  <c r="AE87" i="27"/>
  <c r="AE99" i="27" l="1"/>
  <c r="AE538" i="27" s="1"/>
  <c r="AE178" i="27"/>
  <c r="AE130" i="27"/>
  <c r="AR12" i="29"/>
  <c r="AR41" i="29" l="1"/>
  <c r="AE521" i="27"/>
  <c r="J32" i="32"/>
  <c r="AN32" i="32" s="1"/>
  <c r="J61" i="30"/>
  <c r="AE198" i="27"/>
  <c r="AE535" i="27"/>
  <c r="AE536" i="27"/>
  <c r="J22" i="32"/>
  <c r="J54" i="30"/>
  <c r="AE510" i="27"/>
  <c r="AE555" i="27" l="1"/>
  <c r="J53" i="38"/>
  <c r="J11" i="30"/>
  <c r="J16" i="30"/>
  <c r="AN22" i="32"/>
  <c r="AN14" i="32"/>
  <c r="J14" i="32"/>
  <c r="J34" i="32"/>
  <c r="J33" i="32"/>
  <c r="J62" i="30"/>
  <c r="J18" i="30"/>
  <c r="J17" i="30"/>
  <c r="AN34" i="32" l="1"/>
  <c r="AN33" i="32"/>
  <c r="J15" i="32"/>
  <c r="AN15" i="32"/>
  <c r="J21" i="32"/>
  <c r="AE509" i="27"/>
  <c r="AE512" i="27"/>
  <c r="J53" i="30"/>
  <c r="J15" i="30" s="1"/>
  <c r="AE189" i="27"/>
  <c r="AN21" i="32" l="1"/>
  <c r="AN23" i="32" s="1"/>
  <c r="J23" i="32"/>
  <c r="J13" i="32"/>
  <c r="J24" i="32"/>
  <c r="AN13" i="32"/>
  <c r="J10" i="30"/>
  <c r="J50" i="30"/>
  <c r="J12" i="30" s="1"/>
  <c r="AE199" i="27"/>
  <c r="AE506" i="27"/>
  <c r="AE200" i="27"/>
  <c r="AN24" i="32" l="1"/>
  <c r="AE554" i="27"/>
  <c r="AE502" i="27"/>
  <c r="AE494" i="27"/>
  <c r="AN8" i="32"/>
  <c r="J8" i="32"/>
  <c r="J36" i="32"/>
  <c r="J7" i="30"/>
  <c r="J6" i="30" s="1"/>
  <c r="J64" i="30"/>
  <c r="AN12" i="32"/>
  <c r="J12" i="32"/>
  <c r="AN36" i="32" l="1"/>
  <c r="J19" i="30"/>
  <c r="J20" i="30"/>
  <c r="AE539" i="27" l="1"/>
  <c r="AE106" i="27"/>
  <c r="AE527" i="27" l="1"/>
  <c r="AE526" i="27" l="1"/>
  <c r="AE141" i="27"/>
  <c r="AE176" i="27" l="1"/>
  <c r="AE431" i="27"/>
  <c r="AE35" i="27"/>
  <c r="AE436" i="27" l="1"/>
  <c r="AE315" i="27"/>
  <c r="N44" i="29"/>
  <c r="N33" i="29" s="1"/>
  <c r="AE569" i="27"/>
  <c r="AE534" i="27"/>
  <c r="AE556" i="27"/>
  <c r="AE331" i="27"/>
  <c r="AE496" i="27"/>
  <c r="AE493" i="27"/>
  <c r="AR33" i="29" l="1"/>
  <c r="AE143" i="27" l="1"/>
  <c r="AE543" i="27" l="1"/>
  <c r="AE175" i="27"/>
  <c r="AE46" i="27"/>
  <c r="AE56" i="27"/>
  <c r="AE441" i="27" l="1"/>
  <c r="AE58" i="27"/>
  <c r="AE59" i="27" s="1"/>
  <c r="AE497" i="27"/>
  <c r="AE548" i="27"/>
  <c r="AE545" i="27" l="1"/>
  <c r="AE550" i="27"/>
  <c r="AE564" i="27"/>
  <c r="AE560" i="27"/>
  <c r="AE549" i="27"/>
  <c r="AE544" i="27"/>
  <c r="AE61" i="27"/>
  <c r="AE495" i="27"/>
  <c r="AF515" i="27" l="1"/>
  <c r="AF516" i="27" l="1"/>
  <c r="AF517" i="27" l="1"/>
  <c r="AF519" i="27"/>
  <c r="AF514" i="27" l="1"/>
  <c r="AF518" i="27"/>
  <c r="K68" i="30" l="1"/>
  <c r="K22" i="30" s="1"/>
  <c r="AF513" i="27"/>
  <c r="AA443" i="27" l="1"/>
  <c r="AA451" i="27" s="1"/>
  <c r="AA456" i="27" s="1"/>
  <c r="AA428" i="27"/>
  <c r="AQ14" i="29" l="1"/>
  <c r="J14" i="29" s="1"/>
  <c r="J12" i="29" s="1"/>
  <c r="AA459" i="27"/>
  <c r="AQ8" i="29"/>
  <c r="K14" i="29"/>
  <c r="K12" i="29" s="1"/>
  <c r="AA427" i="27"/>
  <c r="J41" i="29" l="1"/>
  <c r="J8" i="29"/>
  <c r="K41" i="29"/>
  <c r="K8" i="29"/>
  <c r="AQ12" i="29" l="1"/>
  <c r="AQ6" i="29" s="1"/>
  <c r="J33" i="29"/>
  <c r="J6" i="29"/>
  <c r="K33" i="29"/>
  <c r="K6" i="29"/>
  <c r="AQ41" i="29" l="1"/>
  <c r="AQ33" i="29" s="1"/>
  <c r="AA106" i="27" l="1"/>
  <c r="AA539" i="27"/>
  <c r="AA526" i="27"/>
  <c r="AM14" i="32" l="1"/>
  <c r="AM11" i="32"/>
  <c r="AM10" i="32" l="1"/>
  <c r="AM42" i="32"/>
  <c r="AM9" i="32" l="1"/>
  <c r="AM13" i="32" l="1"/>
  <c r="AM45" i="32"/>
  <c r="AM12" i="32" l="1"/>
  <c r="AM41" i="32"/>
  <c r="AM8" i="32" s="1"/>
  <c r="AM15" i="32" l="1"/>
  <c r="AA135" i="27" l="1"/>
  <c r="AA525" i="27" l="1"/>
  <c r="AA568" i="27"/>
  <c r="AA538" i="27"/>
  <c r="AA524" i="27"/>
  <c r="AA141" i="27"/>
  <c r="AA176" i="27" l="1"/>
  <c r="AA143" i="27"/>
  <c r="AA545" i="27" l="1"/>
  <c r="AA175" i="27"/>
  <c r="AA550" i="27" s="1"/>
  <c r="AA544" i="27"/>
  <c r="AA543" i="27"/>
  <c r="AA549" i="27" l="1"/>
  <c r="AA548" i="27"/>
  <c r="AE515" i="27" l="1"/>
  <c r="AE216" i="27"/>
  <c r="AE516" i="27" l="1"/>
  <c r="AE213" i="27"/>
  <c r="AE517" i="27" l="1"/>
  <c r="AE214" i="27"/>
  <c r="AE519" i="27"/>
  <c r="AE514" i="27" l="1"/>
  <c r="AE518" i="27"/>
  <c r="AE215" i="27"/>
  <c r="J68" i="30" l="1"/>
  <c r="J22" i="30" s="1"/>
  <c r="AE513" i="27"/>
  <c r="AE212" i="27"/>
  <c r="N23" i="29" s="1"/>
  <c r="N28" i="29" s="1"/>
  <c r="AR8" i="29" s="1"/>
  <c r="N8" i="29" l="1"/>
  <c r="AA371" i="27" l="1"/>
  <c r="AA425" i="27" l="1"/>
  <c r="J48" i="32" l="1"/>
  <c r="J51" i="32" s="1"/>
  <c r="AE540" i="27"/>
  <c r="AN40" i="32"/>
  <c r="AN6" i="32" l="1"/>
  <c r="J40" i="32"/>
  <c r="J6" i="32" s="1"/>
  <c r="AE219" i="27" l="1"/>
  <c r="J75" i="30"/>
  <c r="AE522" i="27"/>
  <c r="AE207" i="27"/>
  <c r="AE210" i="27" l="1"/>
  <c r="AE217" i="27"/>
  <c r="J27" i="30"/>
  <c r="J74" i="30"/>
  <c r="J78" i="30" s="1"/>
  <c r="J28" i="30" s="1"/>
  <c r="AE503" i="27" l="1"/>
  <c r="AE220" i="27"/>
  <c r="AE63" i="27" s="1"/>
  <c r="AE504" i="27"/>
  <c r="N18" i="29" l="1"/>
  <c r="N31" i="29" s="1"/>
  <c r="J42" i="38"/>
  <c r="AE533" i="27"/>
  <c r="AR6" i="29"/>
  <c r="N9" i="29"/>
  <c r="AE559" i="27"/>
  <c r="AE221" i="27"/>
  <c r="N6" i="29" l="1"/>
  <c r="H14" i="38" l="1"/>
  <c r="H11" i="38"/>
  <c r="H12" i="38" l="1"/>
  <c r="H13" i="38"/>
  <c r="H15" i="38"/>
  <c r="AC87" i="27"/>
  <c r="AC178" i="27" s="1"/>
  <c r="H13" i="31"/>
  <c r="H9" i="38"/>
  <c r="H24" i="38"/>
  <c r="H8" i="38" s="1"/>
  <c r="H10" i="38"/>
  <c r="H16" i="38"/>
  <c r="H12" i="31"/>
  <c r="H11" i="31" l="1"/>
  <c r="AC99" i="27"/>
  <c r="AC538" i="27" s="1"/>
  <c r="H18" i="38"/>
  <c r="H6" i="38" s="1"/>
  <c r="AC106" i="27" l="1"/>
  <c r="AC533" i="27"/>
  <c r="AC130" i="27"/>
  <c r="AC534" i="27"/>
  <c r="AC535" i="27" l="1"/>
  <c r="AC526" i="27"/>
  <c r="AC141" i="27"/>
  <c r="AC536" i="27"/>
  <c r="AC539" i="27"/>
  <c r="AC176" i="27" l="1"/>
  <c r="AC431" i="27"/>
  <c r="AC143" i="27"/>
  <c r="AC545" i="27" s="1"/>
  <c r="AC175" i="27" l="1"/>
  <c r="AC550" i="27" s="1"/>
  <c r="AC544" i="27"/>
  <c r="AC543" i="27"/>
  <c r="AC548" i="27" l="1"/>
  <c r="AC549" i="27"/>
  <c r="H51" i="32" l="1"/>
  <c r="I50" i="32" l="1"/>
  <c r="I51" i="32" s="1"/>
  <c r="H15" i="32"/>
  <c r="I15" i="32" l="1"/>
  <c r="AG35" i="27" l="1"/>
  <c r="AG436" i="27" s="1"/>
  <c r="AG530" i="27" l="1"/>
  <c r="AG529" i="27"/>
  <c r="AG556" i="27"/>
  <c r="AG493" i="27"/>
  <c r="AG495" i="27"/>
  <c r="AG331" i="27"/>
  <c r="P44" i="29"/>
  <c r="AG496" i="27"/>
  <c r="AG61" i="27"/>
  <c r="AG515" i="27" l="1"/>
  <c r="AG216" i="27"/>
  <c r="AG516" i="27" l="1"/>
  <c r="AG213" i="27"/>
  <c r="AG517" i="27" l="1"/>
  <c r="AG214" i="27"/>
  <c r="AG519" i="27"/>
  <c r="AG202" i="27" l="1"/>
  <c r="AG518" i="27" l="1"/>
  <c r="AG514" i="27"/>
  <c r="AG215" i="27"/>
  <c r="AG498" i="27" l="1"/>
  <c r="AG499" i="27"/>
  <c r="AG513" i="27"/>
  <c r="L68" i="30"/>
  <c r="AG212" i="27"/>
  <c r="P23" i="29" s="1"/>
  <c r="L22" i="30" l="1"/>
  <c r="P28" i="29" l="1"/>
  <c r="AG219" i="27" l="1"/>
  <c r="L75" i="30"/>
  <c r="AG207" i="27"/>
  <c r="AG522" i="27"/>
  <c r="P29" i="29" l="1"/>
  <c r="AG210" i="27"/>
  <c r="AG503" i="27" s="1"/>
  <c r="L27" i="30"/>
  <c r="L74" i="30"/>
  <c r="L78" i="30" s="1"/>
  <c r="L28" i="30" s="1"/>
  <c r="L29" i="32" l="1"/>
  <c r="L58" i="30"/>
  <c r="L27" i="32"/>
  <c r="L56" i="30"/>
  <c r="L28" i="32" l="1"/>
  <c r="L57" i="30"/>
  <c r="L62" i="30" s="1"/>
  <c r="L64" i="30" s="1"/>
  <c r="L20" i="30" s="1"/>
  <c r="AG312" i="27"/>
  <c r="AG198" i="27"/>
  <c r="L53" i="38" s="1"/>
  <c r="P30" i="29" l="1"/>
  <c r="L33" i="32"/>
  <c r="AG555" i="27"/>
  <c r="AG199" i="27"/>
  <c r="AG217" i="27"/>
  <c r="L19" i="30"/>
  <c r="L36" i="32" l="1"/>
  <c r="AG554" i="27"/>
  <c r="AG220" i="27"/>
  <c r="AG63" i="27" s="1"/>
  <c r="AG504" i="27"/>
  <c r="P18" i="29" l="1"/>
  <c r="P31" i="29" s="1"/>
  <c r="L42" i="38"/>
  <c r="AG559" i="27"/>
  <c r="AG221" i="27"/>
  <c r="AG310" i="27" l="1"/>
  <c r="AG308" i="27" l="1"/>
  <c r="AG314" i="27"/>
  <c r="AG315" i="27" s="1"/>
  <c r="M48" i="32" l="1"/>
  <c r="M51" i="32" s="1"/>
  <c r="L51" i="32"/>
  <c r="M40" i="32"/>
  <c r="L40" i="32"/>
  <c r="AG87" i="27" l="1"/>
  <c r="AG178" i="27" s="1"/>
  <c r="AG99" i="27" l="1"/>
  <c r="AG538" i="27" s="1"/>
  <c r="L18" i="38"/>
  <c r="AG130" i="27" l="1"/>
  <c r="AG106" i="27"/>
  <c r="P41" i="29"/>
  <c r="AG539" i="27" l="1"/>
  <c r="AG141" i="27"/>
  <c r="AG526" i="27"/>
  <c r="AG536" i="27"/>
  <c r="AG535" i="27"/>
  <c r="AG176" i="27" l="1"/>
  <c r="AG431" i="27"/>
  <c r="AG143" i="27"/>
  <c r="AG175" i="27" l="1"/>
  <c r="AF18" i="31" l="1"/>
  <c r="AF21" i="31" l="1"/>
  <c r="AF25" i="31" l="1"/>
  <c r="AE13" i="38" l="1"/>
  <c r="AE11" i="38"/>
  <c r="AE16" i="38" l="1"/>
  <c r="AE15" i="38"/>
  <c r="N23" i="38"/>
  <c r="M23" i="38" l="1"/>
  <c r="AE26" i="38" l="1"/>
  <c r="AE9" i="38" s="1"/>
  <c r="AE10" i="38"/>
  <c r="AH202" i="27" l="1"/>
  <c r="AH216" i="27" l="1"/>
  <c r="AH515" i="27"/>
  <c r="AH518" i="27"/>
  <c r="M68" i="30" l="1"/>
  <c r="M22" i="30" s="1"/>
  <c r="AH513" i="27"/>
  <c r="M75" i="30" l="1"/>
  <c r="AH522" i="27"/>
  <c r="M27" i="30" l="1"/>
  <c r="M58" i="30" l="1"/>
  <c r="M29" i="32"/>
  <c r="AG29" i="32" s="1"/>
  <c r="M56" i="30" l="1"/>
  <c r="M27" i="32"/>
  <c r="AG27" i="32" l="1"/>
  <c r="M57" i="30" l="1"/>
  <c r="M28" i="32"/>
  <c r="AG28" i="32" l="1"/>
  <c r="AH310" i="27" l="1"/>
  <c r="M59" i="30" l="1"/>
  <c r="M30" i="32"/>
  <c r="M35" i="31" l="1"/>
  <c r="AG30" i="32"/>
  <c r="M20" i="31" l="1"/>
  <c r="M10" i="31" s="1"/>
  <c r="M42" i="31" l="1"/>
  <c r="M29" i="31" l="1"/>
  <c r="AH249" i="27"/>
  <c r="M41" i="31"/>
  <c r="M50" i="31" s="1"/>
  <c r="AH243" i="27"/>
  <c r="M31" i="32"/>
  <c r="M60" i="30"/>
  <c r="M46" i="31"/>
  <c r="M40" i="31" l="1"/>
  <c r="AG31" i="32"/>
  <c r="M45" i="31" l="1"/>
  <c r="AH248" i="27" l="1"/>
  <c r="AH238" i="27"/>
  <c r="M37" i="31" l="1"/>
  <c r="M49" i="31" s="1"/>
  <c r="AH245" i="27"/>
  <c r="AH563" i="27"/>
  <c r="AH246" i="27" l="1"/>
  <c r="M44" i="31" l="1"/>
  <c r="M51" i="31" s="1"/>
  <c r="M33" i="31" l="1"/>
  <c r="AG33" i="31" l="1"/>
  <c r="M53" i="31"/>
  <c r="AH312" i="27" l="1"/>
  <c r="AH314" i="27" s="1"/>
  <c r="M76" i="30"/>
  <c r="M74" i="30" s="1"/>
  <c r="AH207" i="27"/>
  <c r="AH210" i="27" l="1"/>
  <c r="AH503" i="27" l="1"/>
  <c r="M78" i="30"/>
  <c r="M28" i="30" s="1"/>
  <c r="M23" i="31"/>
  <c r="M13" i="31" s="1"/>
  <c r="M22" i="31" l="1"/>
  <c r="M21" i="31" s="1"/>
  <c r="M12" i="31" l="1"/>
  <c r="M11" i="31"/>
  <c r="M26" i="31" l="1"/>
  <c r="M30" i="31" l="1"/>
  <c r="M19" i="31" l="1"/>
  <c r="M9" i="31" s="1"/>
  <c r="M8" i="31" l="1"/>
  <c r="AH524" i="27" l="1"/>
  <c r="AH568" i="27"/>
  <c r="AK35" i="29" l="1"/>
  <c r="Q35" i="29" l="1"/>
  <c r="AH525" i="27"/>
  <c r="AH72" i="27" l="1"/>
  <c r="AH74" i="27" l="1"/>
  <c r="Q22" i="29" l="1"/>
  <c r="M27" i="31" l="1"/>
  <c r="M25" i="31" s="1"/>
  <c r="M14" i="31" l="1"/>
  <c r="M6" i="31"/>
  <c r="AH529" i="27" l="1"/>
  <c r="AH530" i="27"/>
  <c r="AH308" i="27"/>
  <c r="Q30" i="29" l="1"/>
  <c r="AK10" i="29" s="1"/>
  <c r="Q10" i="29" l="1"/>
  <c r="M52" i="38"/>
  <c r="M32" i="32" l="1"/>
  <c r="M61" i="30"/>
  <c r="AH198" i="27"/>
  <c r="M53" i="38" s="1"/>
  <c r="AH521" i="27"/>
  <c r="Q29" i="29"/>
  <c r="AH217" i="27" l="1"/>
  <c r="AH555" i="27"/>
  <c r="M62" i="30"/>
  <c r="M18" i="30"/>
  <c r="M17" i="30"/>
  <c r="AG32" i="32"/>
  <c r="M34" i="32"/>
  <c r="M33" i="32"/>
  <c r="AG33" i="32" l="1"/>
  <c r="AG34" i="32"/>
  <c r="M15" i="32"/>
  <c r="Q9" i="29" l="1"/>
  <c r="M19" i="32"/>
  <c r="AG19" i="32" s="1"/>
  <c r="M51" i="30"/>
  <c r="AH507" i="27"/>
  <c r="M8" i="30" l="1"/>
  <c r="M13" i="30"/>
  <c r="M10" i="32"/>
  <c r="N22" i="38"/>
  <c r="N25" i="38" s="1"/>
  <c r="M22" i="38" l="1"/>
  <c r="M25" i="38" s="1"/>
  <c r="AF25" i="38"/>
  <c r="N29" i="38"/>
  <c r="N28" i="38"/>
  <c r="M28" i="38" l="1"/>
  <c r="M15" i="38" s="1"/>
  <c r="M29" i="38"/>
  <c r="M16" i="38" s="1"/>
  <c r="N20" i="38" l="1"/>
  <c r="M20" i="38" l="1"/>
  <c r="M21" i="32" l="1"/>
  <c r="M53" i="30"/>
  <c r="AH509" i="27"/>
  <c r="AH213" i="27"/>
  <c r="M10" i="38"/>
  <c r="M10" i="30" l="1"/>
  <c r="M15" i="30"/>
  <c r="AG21" i="32"/>
  <c r="M13" i="32"/>
  <c r="AH190" i="27" l="1"/>
  <c r="M13" i="38"/>
  <c r="M20" i="32"/>
  <c r="M52" i="30"/>
  <c r="AH508" i="27"/>
  <c r="AH511" i="27"/>
  <c r="M9" i="30" l="1"/>
  <c r="M14" i="30"/>
  <c r="AG20" i="32"/>
  <c r="M11" i="32"/>
  <c r="M25" i="32"/>
  <c r="AG25" i="32" l="1"/>
  <c r="M9" i="32"/>
  <c r="AE14" i="38"/>
  <c r="AE25" i="38"/>
  <c r="AE12" i="38" s="1"/>
  <c r="AE24" i="38"/>
  <c r="AE8" i="38" s="1"/>
  <c r="AH214" i="27" l="1"/>
  <c r="AH189" i="27"/>
  <c r="M22" i="32"/>
  <c r="M54" i="30"/>
  <c r="AH510" i="27"/>
  <c r="AH512" i="27"/>
  <c r="AH506" i="27" l="1"/>
  <c r="AH199" i="27"/>
  <c r="AH212" i="27"/>
  <c r="Q23" i="29" s="1"/>
  <c r="AH200" i="27"/>
  <c r="AH502" i="27" s="1"/>
  <c r="M16" i="30"/>
  <c r="M11" i="30"/>
  <c r="M50" i="30"/>
  <c r="AG22" i="32"/>
  <c r="AG23" i="32" s="1"/>
  <c r="M14" i="32"/>
  <c r="M24" i="32"/>
  <c r="M23" i="32"/>
  <c r="AH219" i="27" l="1"/>
  <c r="AH494" i="27"/>
  <c r="M14" i="38"/>
  <c r="M36" i="32"/>
  <c r="M8" i="32"/>
  <c r="AG24" i="32"/>
  <c r="M12" i="32"/>
  <c r="AH554" i="27"/>
  <c r="AH220" i="27"/>
  <c r="AH63" i="27" s="1"/>
  <c r="Q18" i="29" s="1"/>
  <c r="Q31" i="29" s="1"/>
  <c r="AH504" i="27"/>
  <c r="M7" i="30"/>
  <c r="M12" i="30"/>
  <c r="M64" i="30"/>
  <c r="M20" i="30" s="1"/>
  <c r="M42" i="38" l="1"/>
  <c r="Q28" i="29"/>
  <c r="AH221" i="27"/>
  <c r="AH559" i="27"/>
  <c r="AG36" i="32"/>
  <c r="M6" i="32"/>
  <c r="M19" i="30"/>
  <c r="M12" i="38"/>
  <c r="Q8" i="29" l="1"/>
  <c r="N21" i="38" l="1"/>
  <c r="N26" i="38" l="1"/>
  <c r="N24" i="38"/>
  <c r="M21" i="38"/>
  <c r="AF26" i="38"/>
  <c r="AF24" i="38"/>
  <c r="M26" i="38" l="1"/>
  <c r="M24" i="38"/>
  <c r="M11" i="38"/>
  <c r="M8" i="38"/>
  <c r="M9" i="38"/>
  <c r="AH35" i="27" l="1"/>
  <c r="AH436" i="27" l="1"/>
  <c r="AH315" i="27"/>
  <c r="Q44" i="29"/>
  <c r="AH556" i="27"/>
  <c r="AH331" i="27"/>
  <c r="AH496" i="27"/>
  <c r="AH499" i="27"/>
  <c r="AH493" i="27"/>
  <c r="AH46" i="27"/>
  <c r="AH441" i="27" s="1"/>
  <c r="AH497" i="27" l="1"/>
  <c r="AH56" i="27" l="1"/>
  <c r="AH58" i="27" s="1"/>
  <c r="AH59" i="27" s="1"/>
  <c r="AH560" i="27" l="1"/>
  <c r="AH498" i="27"/>
  <c r="AH495" i="27"/>
  <c r="AH564" i="27"/>
  <c r="AH61" i="27"/>
  <c r="AF18" i="38" l="1"/>
  <c r="M18" i="38" l="1"/>
  <c r="M6" i="38" s="1"/>
  <c r="AK12" i="29"/>
  <c r="AH535" i="27"/>
  <c r="AK41" i="29" l="1"/>
  <c r="AH527" i="27"/>
  <c r="AH536" i="27"/>
  <c r="AH526" i="27"/>
  <c r="AH539" i="27"/>
  <c r="Q6" i="29" l="1"/>
  <c r="Q41" i="29"/>
  <c r="Q33" i="29" s="1"/>
  <c r="AI320" i="27" l="1"/>
  <c r="AI325" i="27" l="1"/>
  <c r="AI324" i="27" l="1"/>
  <c r="AI202" i="27" l="1"/>
  <c r="N68" i="30" l="1"/>
  <c r="N75" i="30" l="1"/>
  <c r="AF449" i="27" l="1"/>
  <c r="AF448" i="27" l="1"/>
  <c r="AF447" i="27" l="1"/>
  <c r="AF461" i="27" l="1"/>
  <c r="AZ37" i="29" s="1"/>
  <c r="AF462" i="27"/>
  <c r="AZ38" i="29" s="1"/>
  <c r="AF444" i="27" l="1"/>
  <c r="AF452" i="27" s="1"/>
  <c r="AF101" i="27" l="1"/>
  <c r="AF443" i="27" l="1"/>
  <c r="AF451" i="27" s="1"/>
  <c r="AF456" i="27" l="1"/>
  <c r="AZ14" i="29" l="1"/>
  <c r="O14" i="29" s="1"/>
  <c r="AF463" i="27"/>
  <c r="AZ39" i="29" s="1"/>
  <c r="AF428" i="27" l="1"/>
  <c r="AF445" i="27" l="1"/>
  <c r="AF453" i="27" s="1"/>
  <c r="AF457" i="27" l="1"/>
  <c r="AF371" i="27"/>
  <c r="AZ15" i="29" l="1"/>
  <c r="AF458" i="27"/>
  <c r="AZ16" i="29" s="1"/>
  <c r="O16" i="29" l="1"/>
  <c r="AZ10" i="29"/>
  <c r="AF459" i="27"/>
  <c r="O15" i="29"/>
  <c r="AZ12" i="29"/>
  <c r="AF103" i="27"/>
  <c r="AF430" i="27"/>
  <c r="O12" i="29" l="1"/>
  <c r="O41" i="29" s="1"/>
  <c r="K56" i="30" l="1"/>
  <c r="K27" i="32"/>
  <c r="AU27" i="32" s="1"/>
  <c r="K29" i="32"/>
  <c r="AU29" i="32" s="1"/>
  <c r="K58" i="30"/>
  <c r="K57" i="30" l="1"/>
  <c r="K28" i="32"/>
  <c r="AU28" i="32" s="1"/>
  <c r="AF310" i="27" l="1"/>
  <c r="AF102" i="27" l="1"/>
  <c r="AF429" i="27"/>
  <c r="AF425" i="27"/>
  <c r="AF427" i="27" l="1"/>
  <c r="AF249" i="27" l="1"/>
  <c r="AF243" i="27" l="1"/>
  <c r="K40" i="31" s="1"/>
  <c r="L12" i="31"/>
  <c r="AG12" i="31"/>
  <c r="K50" i="31" l="1"/>
  <c r="AF248" i="27"/>
  <c r="AF238" i="27"/>
  <c r="K37" i="31" s="1"/>
  <c r="AF245" i="27" l="1"/>
  <c r="L13" i="31"/>
  <c r="AG13" i="31"/>
  <c r="AG11" i="31"/>
  <c r="L11" i="31" l="1"/>
  <c r="K49" i="31"/>
  <c r="L8" i="31" l="1"/>
  <c r="AG8" i="31"/>
  <c r="AF563" i="27" l="1"/>
  <c r="AF246" i="27"/>
  <c r="K59" i="30" l="1"/>
  <c r="K30" i="32"/>
  <c r="AU30" i="32" l="1"/>
  <c r="AG537" i="27" l="1"/>
  <c r="AH537" i="27"/>
  <c r="K51" i="31"/>
  <c r="AG14" i="31" l="1"/>
  <c r="L14" i="31"/>
  <c r="L6" i="31" l="1"/>
  <c r="K53" i="31"/>
  <c r="AG6" i="31"/>
  <c r="K52" i="30" l="1"/>
  <c r="AF508" i="27"/>
  <c r="K20" i="32"/>
  <c r="AF216" i="27"/>
  <c r="AU20" i="32" l="1"/>
  <c r="L11" i="32"/>
  <c r="AU11" i="32"/>
  <c r="K11" i="32"/>
  <c r="AG11" i="32"/>
  <c r="K9" i="30"/>
  <c r="K14" i="30"/>
  <c r="L11" i="38" l="1"/>
  <c r="AF11" i="38"/>
  <c r="K61" i="30" l="1"/>
  <c r="K32" i="32"/>
  <c r="AU32" i="32" s="1"/>
  <c r="K60" i="30"/>
  <c r="K31" i="32"/>
  <c r="AF198" i="27"/>
  <c r="K53" i="38" s="1"/>
  <c r="AF521" i="27"/>
  <c r="AU31" i="32" l="1"/>
  <c r="K33" i="32"/>
  <c r="K34" i="32"/>
  <c r="AF555" i="27"/>
  <c r="K18" i="30"/>
  <c r="K62" i="30"/>
  <c r="K17" i="30"/>
  <c r="AU33" i="32" l="1"/>
  <c r="AU34" i="32"/>
  <c r="L15" i="32"/>
  <c r="AU15" i="32"/>
  <c r="K15" i="32"/>
  <c r="AG15" i="32"/>
  <c r="AF163" i="27" l="1"/>
  <c r="AU29" i="31"/>
  <c r="K29" i="31" s="1"/>
  <c r="L15" i="38"/>
  <c r="AF15" i="38"/>
  <c r="AU30" i="31"/>
  <c r="K30" i="31" s="1"/>
  <c r="L16" i="38"/>
  <c r="AF16" i="38"/>
  <c r="K20" i="31"/>
  <c r="K10" i="31" s="1"/>
  <c r="AU18" i="31" l="1"/>
  <c r="K19" i="31"/>
  <c r="K9" i="31" s="1"/>
  <c r="K22" i="38"/>
  <c r="AF159" i="27" l="1"/>
  <c r="K18" i="31"/>
  <c r="K8" i="31" s="1"/>
  <c r="AU8" i="31"/>
  <c r="K23" i="31" l="1"/>
  <c r="K13" i="31" s="1"/>
  <c r="AU13" i="31"/>
  <c r="AU27" i="31"/>
  <c r="AU25" i="31" s="1"/>
  <c r="K22" i="31"/>
  <c r="AU12" i="31"/>
  <c r="K12" i="31" l="1"/>
  <c r="K21" i="31"/>
  <c r="AF96" i="27"/>
  <c r="AU16" i="31" s="1"/>
  <c r="AU6" i="31" s="1"/>
  <c r="K27" i="31"/>
  <c r="K25" i="31" s="1"/>
  <c r="K11" i="31"/>
  <c r="AU11" i="31"/>
  <c r="K28" i="38"/>
  <c r="K15" i="38" s="1"/>
  <c r="AS15" i="38"/>
  <c r="K21" i="38"/>
  <c r="K11" i="38" s="1"/>
  <c r="AS11" i="38"/>
  <c r="AF537" i="27" l="1"/>
  <c r="AU14" i="31"/>
  <c r="K14" i="31"/>
  <c r="K29" i="38"/>
  <c r="K16" i="38" s="1"/>
  <c r="AS16" i="38"/>
  <c r="K16" i="31"/>
  <c r="K6" i="31" s="1"/>
  <c r="K53" i="30" l="1"/>
  <c r="K21" i="32"/>
  <c r="AF509" i="27"/>
  <c r="AF213" i="27"/>
  <c r="K10" i="30" l="1"/>
  <c r="K15" i="30"/>
  <c r="L13" i="32"/>
  <c r="AU21" i="32"/>
  <c r="AU13" i="32"/>
  <c r="K13" i="32"/>
  <c r="AG13" i="32"/>
  <c r="AF511" i="27" l="1"/>
  <c r="K19" i="32"/>
  <c r="AF507" i="27"/>
  <c r="K51" i="30"/>
  <c r="AF190" i="27"/>
  <c r="AF215" i="27"/>
  <c r="L13" i="38"/>
  <c r="AF13" i="38"/>
  <c r="AS13" i="38"/>
  <c r="K13" i="38"/>
  <c r="K25" i="32" l="1"/>
  <c r="AU19" i="32"/>
  <c r="L10" i="32"/>
  <c r="AU10" i="32"/>
  <c r="K10" i="32"/>
  <c r="AG10" i="32"/>
  <c r="K13" i="30"/>
  <c r="K8" i="30"/>
  <c r="K20" i="38" l="1"/>
  <c r="AS10" i="38"/>
  <c r="AS26" i="38"/>
  <c r="AU25" i="32"/>
  <c r="L9" i="32"/>
  <c r="AU9" i="32"/>
  <c r="K9" i="32"/>
  <c r="AG9" i="32"/>
  <c r="L10" i="38"/>
  <c r="AF10" i="38"/>
  <c r="K10" i="38" l="1"/>
  <c r="K26" i="38"/>
  <c r="L9" i="38"/>
  <c r="AF9" i="38"/>
  <c r="AS9" i="38"/>
  <c r="K9" i="38"/>
  <c r="K54" i="30" l="1"/>
  <c r="K22" i="32"/>
  <c r="AF510" i="27"/>
  <c r="AF214" i="27"/>
  <c r="AF512" i="27"/>
  <c r="AF189" i="27"/>
  <c r="AF188" i="27"/>
  <c r="K11" i="30" l="1"/>
  <c r="K16" i="30"/>
  <c r="K50" i="30"/>
  <c r="AF506" i="27"/>
  <c r="AF199" i="27"/>
  <c r="AF212" i="27"/>
  <c r="O23" i="29" s="1"/>
  <c r="O28" i="29" s="1"/>
  <c r="AF200" i="27"/>
  <c r="K23" i="38"/>
  <c r="AS25" i="38"/>
  <c r="AS24" i="38"/>
  <c r="AU22" i="32"/>
  <c r="AU23" i="32" s="1"/>
  <c r="L14" i="32"/>
  <c r="AU14" i="32"/>
  <c r="K14" i="32"/>
  <c r="AG14" i="32"/>
  <c r="K24" i="32"/>
  <c r="K23" i="32"/>
  <c r="K25" i="38" l="1"/>
  <c r="K24" i="38"/>
  <c r="AK8" i="29"/>
  <c r="AZ8" i="29"/>
  <c r="AU12" i="32"/>
  <c r="L14" i="38"/>
  <c r="AF14" i="38"/>
  <c r="K36" i="32"/>
  <c r="AG6" i="32" s="1"/>
  <c r="L8" i="32"/>
  <c r="K8" i="32"/>
  <c r="AU8" i="32"/>
  <c r="AG8" i="32"/>
  <c r="K64" i="30"/>
  <c r="K7" i="30"/>
  <c r="K12" i="30"/>
  <c r="L12" i="32"/>
  <c r="AU24" i="32"/>
  <c r="K12" i="32"/>
  <c r="AG12" i="32"/>
  <c r="AS14" i="38"/>
  <c r="AF219" i="27"/>
  <c r="K14" i="38"/>
  <c r="AF502" i="27"/>
  <c r="AF554" i="27"/>
  <c r="AS12" i="38" l="1"/>
  <c r="AS8" i="38"/>
  <c r="K8" i="38"/>
  <c r="K12" i="38"/>
  <c r="L8" i="38"/>
  <c r="AF8" i="38"/>
  <c r="L12" i="38"/>
  <c r="AF12" i="38"/>
  <c r="K19" i="30"/>
  <c r="K20" i="30"/>
  <c r="AU36" i="32"/>
  <c r="L6" i="32"/>
  <c r="P8" i="29" l="1"/>
  <c r="O8" i="29"/>
  <c r="AF109" i="27" l="1"/>
  <c r="AF464" i="27" s="1"/>
  <c r="AZ35" i="29" l="1"/>
  <c r="AF135" i="27"/>
  <c r="AF568" i="27" l="1"/>
  <c r="AF524" i="27"/>
  <c r="AZ41" i="29"/>
  <c r="AF525" i="27"/>
  <c r="AF156" i="27" l="1"/>
  <c r="AF155" i="27" s="1"/>
  <c r="AF158" i="27" l="1"/>
  <c r="AF72" i="27" l="1"/>
  <c r="AF530" i="27"/>
  <c r="AF529" i="27"/>
  <c r="AF308" i="27"/>
  <c r="AF150" i="27" l="1"/>
  <c r="AF149" i="27" l="1"/>
  <c r="AF87" i="27"/>
  <c r="AF178" i="27" s="1"/>
  <c r="AF170" i="27" l="1"/>
  <c r="AF99" i="27"/>
  <c r="AF538" i="27" s="1"/>
  <c r="AS18" i="38"/>
  <c r="K18" i="38" l="1"/>
  <c r="AF130" i="27"/>
  <c r="AF535" i="27" l="1"/>
  <c r="AF570" i="27"/>
  <c r="AF536" i="27"/>
  <c r="O22" i="29" l="1"/>
  <c r="O29" i="29" s="1"/>
  <c r="AK9" i="29" l="1"/>
  <c r="AZ9" i="29"/>
  <c r="AF539" i="27" l="1"/>
  <c r="AF141" i="27"/>
  <c r="AF106" i="27"/>
  <c r="AF526" i="27"/>
  <c r="P9" i="29"/>
  <c r="O9" i="29"/>
  <c r="AF176" i="27" l="1"/>
  <c r="AF431" i="27"/>
  <c r="K76" i="30"/>
  <c r="K74" i="30" s="1"/>
  <c r="K78" i="30" s="1"/>
  <c r="K28" i="30" s="1"/>
  <c r="AF207" i="27"/>
  <c r="AF312" i="27"/>
  <c r="AF314" i="27" s="1"/>
  <c r="AG540" i="27" l="1"/>
  <c r="AH540" i="27"/>
  <c r="AF210" i="27"/>
  <c r="AF217" i="27"/>
  <c r="AF494" i="27"/>
  <c r="K48" i="32" l="1"/>
  <c r="K51" i="32" s="1"/>
  <c r="AO40" i="32"/>
  <c r="AF503" i="27"/>
  <c r="AF504" i="27"/>
  <c r="AF220" i="27"/>
  <c r="AF63" i="27" s="1"/>
  <c r="AU40" i="32"/>
  <c r="AF540" i="27"/>
  <c r="O18" i="29" l="1"/>
  <c r="AZ6" i="29" s="1"/>
  <c r="AF533" i="27"/>
  <c r="K42" i="38"/>
  <c r="AH533" i="27"/>
  <c r="AG533" i="27"/>
  <c r="AF559" i="27"/>
  <c r="AF221" i="27"/>
  <c r="AU6" i="32"/>
  <c r="K40" i="32"/>
  <c r="K6" i="32" s="1"/>
  <c r="P6" i="29"/>
  <c r="O6" i="29"/>
  <c r="P10" i="29"/>
  <c r="O10" i="29"/>
  <c r="O31" i="29" l="1"/>
  <c r="AK6" i="29"/>
  <c r="AF6" i="38"/>
  <c r="L6" i="38"/>
  <c r="AS6" i="38"/>
  <c r="K6" i="38"/>
  <c r="AF35" i="27" l="1"/>
  <c r="AF436" i="27" l="1"/>
  <c r="AF315" i="27"/>
  <c r="O44" i="29"/>
  <c r="P33" i="29" s="1"/>
  <c r="AF46" i="27"/>
  <c r="AF441" i="27" s="1"/>
  <c r="AF143" i="27"/>
  <c r="H4" i="67" s="1"/>
  <c r="H12" i="67" s="1"/>
  <c r="AF493" i="27"/>
  <c r="AF556" i="27"/>
  <c r="AF331" i="27"/>
  <c r="AG534" i="27"/>
  <c r="AG543" i="27"/>
  <c r="AG548" i="27"/>
  <c r="AH569" i="27"/>
  <c r="AH534" i="27"/>
  <c r="AH543" i="27"/>
  <c r="AH548" i="27"/>
  <c r="AF496" i="27"/>
  <c r="AF499" i="27"/>
  <c r="AF569" i="27"/>
  <c r="AF534" i="27"/>
  <c r="AF56" i="27"/>
  <c r="AF58" i="27" s="1"/>
  <c r="H7" i="67" s="1"/>
  <c r="O33" i="29" l="1"/>
  <c r="AK33" i="29"/>
  <c r="AF544" i="27"/>
  <c r="AF59" i="27"/>
  <c r="AF543" i="27"/>
  <c r="AF175" i="27"/>
  <c r="AF560" i="27"/>
  <c r="AF495" i="27"/>
  <c r="AF564" i="27"/>
  <c r="AF61" i="27"/>
  <c r="AG544" i="27"/>
  <c r="AG549" i="27"/>
  <c r="AH544" i="27"/>
  <c r="AH549" i="27"/>
  <c r="AF498" i="27"/>
  <c r="AF497" i="27"/>
  <c r="H8" i="67" l="1"/>
  <c r="AF550" i="27"/>
  <c r="H5" i="67"/>
  <c r="H16" i="67" s="1"/>
  <c r="AF545" i="27"/>
  <c r="AF548" i="27"/>
  <c r="AF549" i="27"/>
  <c r="AG545" i="27"/>
  <c r="AG550" i="27"/>
  <c r="AH545" i="27"/>
  <c r="AH550" i="27"/>
  <c r="AZ33" i="29"/>
  <c r="H18" i="67" l="1"/>
  <c r="H14" i="67"/>
  <c r="H13" i="67"/>
  <c r="N23" i="30"/>
  <c r="AI514" i="27" l="1"/>
  <c r="N26" i="30" l="1"/>
  <c r="N25" i="30"/>
  <c r="N37" i="30" l="1"/>
  <c r="AI519" i="27"/>
  <c r="AI516" i="27"/>
  <c r="N24" i="30"/>
  <c r="N32" i="30"/>
  <c r="AI517" i="27" l="1"/>
  <c r="AI223" i="27"/>
  <c r="N22" i="30"/>
  <c r="N27" i="30"/>
  <c r="AI515" i="27"/>
  <c r="AI518" i="27"/>
  <c r="AI522" i="27"/>
  <c r="AI230" i="27" l="1"/>
  <c r="AI513" i="27"/>
  <c r="N45" i="30"/>
  <c r="N46" i="30" l="1"/>
  <c r="AI448" i="27" l="1"/>
  <c r="AI462" i="27" l="1"/>
  <c r="AS38" i="29" s="1"/>
  <c r="R38" i="29" l="1"/>
  <c r="AI444" i="27" l="1"/>
  <c r="AI452" i="27" s="1"/>
  <c r="AI449" i="27" l="1"/>
  <c r="AI447" i="27" l="1"/>
  <c r="AI103" i="27" l="1"/>
  <c r="R46" i="29" l="1"/>
  <c r="AI457" i="27" l="1"/>
  <c r="AS15" i="29" s="1"/>
  <c r="R15" i="29" s="1"/>
  <c r="AI101" i="27"/>
  <c r="R45" i="29" l="1"/>
  <c r="AI463" i="27" l="1"/>
  <c r="AS39" i="29" s="1"/>
  <c r="R39" i="29" l="1"/>
  <c r="AI461" i="27" l="1"/>
  <c r="AS37" i="29" s="1"/>
  <c r="AI443" i="27" l="1"/>
  <c r="AI451" i="27" s="1"/>
  <c r="R37" i="29"/>
  <c r="AI456" i="27" l="1"/>
  <c r="AS14" i="29" l="1"/>
  <c r="R14" i="29" s="1"/>
  <c r="AI445" i="27" l="1"/>
  <c r="AI453" i="27" s="1"/>
  <c r="AI371" i="27"/>
  <c r="AI458" i="27" l="1"/>
  <c r="AS16" i="29" l="1"/>
  <c r="R16" i="29" s="1"/>
  <c r="R12" i="29" s="1"/>
  <c r="AI459" i="27"/>
  <c r="R47" i="29" l="1"/>
  <c r="N57" i="30" l="1"/>
  <c r="N28" i="32"/>
  <c r="AO28" i="32" s="1"/>
  <c r="N56" i="30" l="1"/>
  <c r="N27" i="32"/>
  <c r="N29" i="32"/>
  <c r="AO29" i="32" s="1"/>
  <c r="N58" i="30"/>
  <c r="AI310" i="27" l="1"/>
  <c r="AO27" i="32"/>
  <c r="AI102" i="27" l="1"/>
  <c r="AI425" i="27"/>
  <c r="AI159" i="27" l="1"/>
  <c r="N20" i="31" l="1"/>
  <c r="N10" i="31" s="1"/>
  <c r="N59" i="30" l="1"/>
  <c r="N30" i="32"/>
  <c r="AO30" i="32" l="1"/>
  <c r="AO51" i="32" l="1"/>
  <c r="AI207" i="27" l="1"/>
  <c r="AI210" i="27" s="1"/>
  <c r="N78" i="30" s="1"/>
  <c r="N76" i="30"/>
  <c r="N74" i="30" s="1"/>
  <c r="AI312" i="27"/>
  <c r="AI314" i="27" s="1"/>
  <c r="N48" i="32"/>
  <c r="N40" i="32" l="1"/>
  <c r="N51" i="32"/>
  <c r="AI503" i="27"/>
  <c r="N35" i="31" l="1"/>
  <c r="N19" i="31" l="1"/>
  <c r="N9" i="31" s="1"/>
  <c r="N18" i="31" l="1"/>
  <c r="AI163" i="27" l="1"/>
  <c r="N43" i="31" l="1"/>
  <c r="N41" i="31" l="1"/>
  <c r="N42" i="31"/>
  <c r="AI249" i="27"/>
  <c r="N50" i="31" l="1"/>
  <c r="N22" i="31"/>
  <c r="N46" i="31"/>
  <c r="N29" i="31"/>
  <c r="AI243" i="27"/>
  <c r="N40" i="31" s="1"/>
  <c r="N12" i="31" l="1"/>
  <c r="N30" i="31"/>
  <c r="N23" i="31" l="1"/>
  <c r="N21" i="31" s="1"/>
  <c r="AO11" i="31"/>
  <c r="N13" i="31" l="1"/>
  <c r="N11" i="31"/>
  <c r="AI248" i="27"/>
  <c r="AI238" i="27"/>
  <c r="N45" i="31"/>
  <c r="N44" i="31"/>
  <c r="N51" i="31" l="1"/>
  <c r="N37" i="31"/>
  <c r="N49" i="31" s="1"/>
  <c r="AI245" i="27"/>
  <c r="AI563" i="27"/>
  <c r="AI246" i="27" l="1"/>
  <c r="N33" i="31"/>
  <c r="AO8" i="31" l="1"/>
  <c r="N53" i="31"/>
  <c r="N8" i="31"/>
  <c r="AI74" i="27" l="1"/>
  <c r="R22" i="29" l="1"/>
  <c r="AI530" i="27" l="1"/>
  <c r="AI72" i="27"/>
  <c r="AI529" i="27"/>
  <c r="AI308" i="27"/>
  <c r="R30" i="29" l="1"/>
  <c r="AS10" i="29" s="1"/>
  <c r="R10" i="29" l="1"/>
  <c r="AI135" i="27" l="1"/>
  <c r="AI568" i="27" l="1"/>
  <c r="AI524" i="27"/>
  <c r="N44" i="38" l="1"/>
  <c r="N19" i="32" l="1"/>
  <c r="AI507" i="27"/>
  <c r="AI215" i="27"/>
  <c r="N51" i="30"/>
  <c r="N8" i="30" l="1"/>
  <c r="N13" i="30"/>
  <c r="AO19" i="32"/>
  <c r="N10" i="32"/>
  <c r="AO10" i="32"/>
  <c r="AM10" i="38" l="1"/>
  <c r="N10" i="38"/>
  <c r="N46" i="38" l="1"/>
  <c r="N53" i="30" l="1"/>
  <c r="AI509" i="27"/>
  <c r="N21" i="32"/>
  <c r="AI213" i="27"/>
  <c r="N52" i="38" l="1"/>
  <c r="N61" i="30"/>
  <c r="N32" i="32"/>
  <c r="AO32" i="32" s="1"/>
  <c r="N31" i="32"/>
  <c r="N60" i="30"/>
  <c r="AI521" i="27"/>
  <c r="R29" i="29"/>
  <c r="AS9" i="29" s="1"/>
  <c r="AI198" i="27"/>
  <c r="N53" i="38" s="1"/>
  <c r="AO21" i="32"/>
  <c r="N13" i="32"/>
  <c r="AO13" i="32"/>
  <c r="N10" i="30"/>
  <c r="N15" i="30"/>
  <c r="N47" i="38"/>
  <c r="N49" i="38" s="1"/>
  <c r="AM13" i="38" l="1"/>
  <c r="N13" i="38"/>
  <c r="AO31" i="32"/>
  <c r="N34" i="32"/>
  <c r="N33" i="32"/>
  <c r="AI510" i="27"/>
  <c r="N22" i="32"/>
  <c r="AI214" i="27"/>
  <c r="N54" i="30"/>
  <c r="AI512" i="27"/>
  <c r="AI189" i="27"/>
  <c r="AI217" i="27"/>
  <c r="AI555" i="27"/>
  <c r="N18" i="30"/>
  <c r="N62" i="30"/>
  <c r="N17" i="30"/>
  <c r="N28" i="30" l="1"/>
  <c r="AO22" i="32"/>
  <c r="N14" i="32"/>
  <c r="AO14" i="32"/>
  <c r="N24" i="32"/>
  <c r="AO33" i="32"/>
  <c r="N15" i="32"/>
  <c r="AO34" i="32"/>
  <c r="AO15" i="32"/>
  <c r="N16" i="30"/>
  <c r="N11" i="30"/>
  <c r="AM16" i="38" l="1"/>
  <c r="AM14" i="38"/>
  <c r="AM15" i="38"/>
  <c r="N16" i="38"/>
  <c r="N14" i="38"/>
  <c r="N15" i="38"/>
  <c r="AO24" i="32"/>
  <c r="N12" i="32"/>
  <c r="AO12" i="32"/>
  <c r="R9" i="29"/>
  <c r="N45" i="38"/>
  <c r="N50" i="38" l="1"/>
  <c r="N48" i="38"/>
  <c r="AM12" i="38"/>
  <c r="N12" i="38"/>
  <c r="AI188" i="27"/>
  <c r="N20" i="32"/>
  <c r="N52" i="30"/>
  <c r="AI216" i="27"/>
  <c r="AI508" i="27"/>
  <c r="AI190" i="27"/>
  <c r="AI511" i="27"/>
  <c r="N14" i="30" l="1"/>
  <c r="N9" i="30"/>
  <c r="N50" i="30"/>
  <c r="AO20" i="32"/>
  <c r="N11" i="32"/>
  <c r="AO11" i="32"/>
  <c r="N25" i="32"/>
  <c r="N23" i="32"/>
  <c r="AI212" i="27"/>
  <c r="R23" i="29" s="1"/>
  <c r="AI506" i="27"/>
  <c r="AI199" i="27"/>
  <c r="AI200" i="27"/>
  <c r="AM11" i="38" l="1"/>
  <c r="N11" i="38"/>
  <c r="AI219" i="27"/>
  <c r="R28" i="29"/>
  <c r="AS8" i="29" s="1"/>
  <c r="AO23" i="32"/>
  <c r="N8" i="32"/>
  <c r="AO8" i="32"/>
  <c r="N36" i="32"/>
  <c r="N12" i="30"/>
  <c r="N7" i="30"/>
  <c r="N64" i="30"/>
  <c r="AI554" i="27"/>
  <c r="AI502" i="27"/>
  <c r="AI540" i="27"/>
  <c r="AI220" i="27"/>
  <c r="AI504" i="27"/>
  <c r="AO25" i="32"/>
  <c r="N9" i="32"/>
  <c r="AO9" i="32"/>
  <c r="AI494" i="27"/>
  <c r="AI559" i="27" l="1"/>
  <c r="AI63" i="27"/>
  <c r="R18" i="29" s="1"/>
  <c r="R31" i="29" s="1"/>
  <c r="AM9" i="38"/>
  <c r="AM8" i="38"/>
  <c r="N8" i="38"/>
  <c r="N9" i="38"/>
  <c r="AI221" i="27"/>
  <c r="AO36" i="32"/>
  <c r="AO6" i="32"/>
  <c r="N6" i="32"/>
  <c r="N20" i="30"/>
  <c r="N19" i="30"/>
  <c r="N6" i="30"/>
  <c r="N42" i="38" l="1"/>
  <c r="R8" i="29"/>
  <c r="AI109" i="27" l="1"/>
  <c r="AI464" i="27" s="1"/>
  <c r="AS35" i="29" l="1"/>
  <c r="AI525" i="27"/>
  <c r="R35" i="29" l="1"/>
  <c r="AI156" i="27" l="1"/>
  <c r="AI155" i="27" s="1"/>
  <c r="AI96" i="27" l="1"/>
  <c r="AO16" i="31" s="1"/>
  <c r="AO14" i="31"/>
  <c r="N26" i="31"/>
  <c r="N27" i="31"/>
  <c r="N25" i="31" l="1"/>
  <c r="AO6" i="31"/>
  <c r="N16" i="31"/>
  <c r="N6" i="31" s="1"/>
  <c r="AI537" i="27"/>
  <c r="N14" i="31"/>
  <c r="AI152" i="27" l="1"/>
  <c r="AI153" i="27" l="1"/>
  <c r="AI87" i="27" l="1"/>
  <c r="AI178" i="27" s="1"/>
  <c r="AI99" i="27" l="1"/>
  <c r="AI538" i="27" s="1"/>
  <c r="AM18" i="38"/>
  <c r="AM6" i="38" l="1"/>
  <c r="N18" i="38"/>
  <c r="N6" i="38" s="1"/>
  <c r="AS12" i="29"/>
  <c r="AS6" i="29" s="1"/>
  <c r="AI106" i="27"/>
  <c r="AI533" i="27"/>
  <c r="R6" i="29" l="1"/>
  <c r="AS41" i="29"/>
  <c r="R41" i="29" l="1"/>
  <c r="AI166" i="27" l="1"/>
  <c r="AI150" i="27"/>
  <c r="AI149" i="27" s="1"/>
  <c r="AI130" i="27" l="1"/>
  <c r="AI539" i="27" s="1"/>
  <c r="AI158" i="27"/>
  <c r="AI170" i="27" s="1"/>
  <c r="AI536" i="27" l="1"/>
  <c r="AI141" i="27"/>
  <c r="AI535" i="27"/>
  <c r="AI526" i="27"/>
  <c r="AI527" i="27"/>
  <c r="AI176" i="27" l="1"/>
  <c r="AI431" i="27"/>
  <c r="AI143" i="27" l="1"/>
  <c r="AI35" i="27"/>
  <c r="AI436" i="27" l="1"/>
  <c r="AI315" i="27"/>
  <c r="AI175" i="27"/>
  <c r="AI543" i="27"/>
  <c r="AI493" i="27"/>
  <c r="AI496" i="27"/>
  <c r="AI569" i="27"/>
  <c r="AI331" i="27"/>
  <c r="R44" i="29"/>
  <c r="AI556" i="27"/>
  <c r="AI534" i="27"/>
  <c r="AS33" i="29" l="1"/>
  <c r="AI46" i="27"/>
  <c r="AI441" i="27" s="1"/>
  <c r="R33" i="29"/>
  <c r="AI548" i="27"/>
  <c r="AI497" i="27" l="1"/>
  <c r="AI56" i="27"/>
  <c r="AI58" i="27" s="1"/>
  <c r="AI59" i="27" s="1"/>
  <c r="AI564" i="27" l="1"/>
  <c r="AI560" i="27"/>
  <c r="AI495" i="27"/>
  <c r="AI61" i="27"/>
  <c r="AI544" i="27"/>
  <c r="AI549" i="27"/>
  <c r="AI545" i="27" l="1"/>
  <c r="AI550" i="27"/>
  <c r="AL101" i="27" l="1"/>
  <c r="AL102" i="27" l="1"/>
  <c r="AL448" i="27" l="1"/>
  <c r="AL444" i="27" l="1"/>
  <c r="AL452" i="27" s="1"/>
  <c r="AL447" i="27" l="1"/>
  <c r="AL457" i="27" l="1"/>
  <c r="AL15" i="29" s="1"/>
  <c r="U15" i="29" l="1"/>
  <c r="V15" i="29"/>
  <c r="AL445" i="27" l="1"/>
  <c r="AL461" i="27" l="1"/>
  <c r="AL37" i="29" s="1"/>
  <c r="V37" i="29" l="1"/>
  <c r="U37" i="29"/>
  <c r="AL443" i="27" l="1"/>
  <c r="AL451" i="27" s="1"/>
  <c r="AL456" i="27" s="1"/>
  <c r="AL14" i="29" s="1"/>
  <c r="AL371" i="27"/>
  <c r="V14" i="29" l="1"/>
  <c r="U14" i="29"/>
  <c r="AL449" i="27" l="1"/>
  <c r="AL453" i="27" s="1"/>
  <c r="AL103" i="27" l="1"/>
  <c r="AL463" i="27" l="1"/>
  <c r="AL39" i="29" s="1"/>
  <c r="AL458" i="27"/>
  <c r="AL459" i="27" l="1"/>
  <c r="AL16" i="29"/>
  <c r="V39" i="29"/>
  <c r="U39" i="29"/>
  <c r="V16" i="29" l="1"/>
  <c r="V12" i="29" s="1"/>
  <c r="U16" i="29"/>
  <c r="U12" i="29" s="1"/>
  <c r="Q57" i="30" l="1"/>
  <c r="Q28" i="32"/>
  <c r="AH28" i="32" s="1"/>
  <c r="Q58" i="30" l="1"/>
  <c r="Q29" i="32"/>
  <c r="AH29" i="32" s="1"/>
  <c r="Q27" i="32"/>
  <c r="Q56" i="30"/>
  <c r="AH27" i="32" l="1"/>
  <c r="AL303" i="27" l="1"/>
  <c r="AL310" i="27" l="1"/>
  <c r="Q43" i="31" l="1"/>
  <c r="Q41" i="31" l="1"/>
  <c r="Q59" i="30" l="1"/>
  <c r="Q30" i="32"/>
  <c r="Q35" i="31" l="1"/>
  <c r="AH30" i="32"/>
  <c r="AL163" i="27" l="1"/>
  <c r="AL159" i="27" l="1"/>
  <c r="R19" i="31" l="1"/>
  <c r="Q29" i="31"/>
  <c r="R29" i="31"/>
  <c r="Q19" i="31"/>
  <c r="Q18" i="31" l="1"/>
  <c r="Q9" i="31"/>
  <c r="R18" i="31"/>
  <c r="R9" i="31"/>
  <c r="AL522" i="27"/>
  <c r="Q75" i="30"/>
  <c r="Q27" i="30" l="1"/>
  <c r="AL462" i="27" l="1"/>
  <c r="AL38" i="29" s="1"/>
  <c r="V38" i="29" s="1"/>
  <c r="U38" i="29" l="1"/>
  <c r="AL427" i="27"/>
  <c r="AL249" i="27" l="1"/>
  <c r="Q42" i="31" l="1"/>
  <c r="AL243" i="27"/>
  <c r="Q40" i="31" s="1"/>
  <c r="Q50" i="31" l="1"/>
  <c r="AL248" i="27"/>
  <c r="AL238" i="27"/>
  <c r="Q45" i="31"/>
  <c r="Q37" i="31" l="1"/>
  <c r="Q49" i="31" s="1"/>
  <c r="AL245" i="27"/>
  <c r="AL563" i="27" l="1"/>
  <c r="AL246" i="27"/>
  <c r="R8" i="31" l="1"/>
  <c r="Q8" i="31"/>
  <c r="U25" i="29" l="1"/>
  <c r="Q76" i="30" l="1"/>
  <c r="Q74" i="30" s="1"/>
  <c r="AL312" i="27"/>
  <c r="AL207" i="27"/>
  <c r="AL210" i="27" s="1"/>
  <c r="Q78" i="30" s="1"/>
  <c r="Q40" i="32"/>
  <c r="AH51" i="32" l="1"/>
  <c r="R48" i="32"/>
  <c r="R51" i="32" s="1"/>
  <c r="AL503" i="27"/>
  <c r="AH40" i="32"/>
  <c r="Q48" i="32"/>
  <c r="Q51" i="32" s="1"/>
  <c r="R40" i="32" l="1"/>
  <c r="AL314" i="27" l="1"/>
  <c r="AH21" i="31" l="1"/>
  <c r="R23" i="31"/>
  <c r="R13" i="31" s="1"/>
  <c r="R22" i="31"/>
  <c r="R21" i="31" s="1"/>
  <c r="Q23" i="31"/>
  <c r="Q13" i="31" s="1"/>
  <c r="Q22" i="31"/>
  <c r="AL135" i="27"/>
  <c r="Q21" i="31" l="1"/>
  <c r="R26" i="31"/>
  <c r="R12" i="31"/>
  <c r="R11" i="31"/>
  <c r="Q26" i="31"/>
  <c r="AL568" i="27"/>
  <c r="AL524" i="27"/>
  <c r="Q11" i="31"/>
  <c r="Q12" i="31"/>
  <c r="AL153" i="27"/>
  <c r="AL152" i="27"/>
  <c r="AL166" i="27"/>
  <c r="AL158" i="27" l="1"/>
  <c r="R21" i="38" l="1"/>
  <c r="Q21" i="38" l="1"/>
  <c r="R28" i="38" l="1"/>
  <c r="R29" i="38"/>
  <c r="Q29" i="38" l="1"/>
  <c r="Q28" i="38"/>
  <c r="Q44" i="38" l="1"/>
  <c r="Q46" i="38"/>
  <c r="R22" i="38"/>
  <c r="R20" i="38"/>
  <c r="R26" i="38" l="1"/>
  <c r="Q31" i="32"/>
  <c r="Q60" i="30"/>
  <c r="Q21" i="32"/>
  <c r="Q53" i="30"/>
  <c r="AL213" i="27"/>
  <c r="AL509" i="27"/>
  <c r="Q19" i="32"/>
  <c r="AL507" i="27"/>
  <c r="Q51" i="30"/>
  <c r="AL215" i="27"/>
  <c r="Q28" i="30"/>
  <c r="Q22" i="38"/>
  <c r="AG26" i="38"/>
  <c r="Q20" i="38"/>
  <c r="Q26" i="38" l="1"/>
  <c r="R13" i="32"/>
  <c r="R10" i="32"/>
  <c r="U24" i="29"/>
  <c r="Q8" i="30"/>
  <c r="Q13" i="30"/>
  <c r="Q10" i="30"/>
  <c r="Q15" i="30"/>
  <c r="AH19" i="32"/>
  <c r="AH21" i="32"/>
  <c r="AH31" i="32"/>
  <c r="Q47" i="38"/>
  <c r="R23" i="38"/>
  <c r="R24" i="38" l="1"/>
  <c r="R25" i="38"/>
  <c r="Q52" i="38"/>
  <c r="Q49" i="38"/>
  <c r="R10" i="38"/>
  <c r="R13" i="38"/>
  <c r="Q61" i="30"/>
  <c r="Q32" i="32"/>
  <c r="AL521" i="27"/>
  <c r="AL198" i="27"/>
  <c r="Q53" i="38" s="1"/>
  <c r="Q13" i="38"/>
  <c r="AL214" i="27"/>
  <c r="AL510" i="27"/>
  <c r="Q22" i="32"/>
  <c r="Q54" i="30"/>
  <c r="AL189" i="27"/>
  <c r="AL512" i="27"/>
  <c r="Q10" i="38"/>
  <c r="Q23" i="38"/>
  <c r="AG25" i="38"/>
  <c r="AL87" i="27"/>
  <c r="AL178" i="27" s="1"/>
  <c r="Q25" i="38" l="1"/>
  <c r="Q24" i="38"/>
  <c r="R14" i="32"/>
  <c r="AL555" i="27"/>
  <c r="AL217" i="27"/>
  <c r="Q16" i="30"/>
  <c r="Q11" i="30"/>
  <c r="AH22" i="32"/>
  <c r="Q24" i="32"/>
  <c r="AG18" i="38"/>
  <c r="AH32" i="32"/>
  <c r="Q34" i="32"/>
  <c r="Q33" i="32"/>
  <c r="Q62" i="30"/>
  <c r="Q18" i="30"/>
  <c r="Q17" i="30"/>
  <c r="Q45" i="38"/>
  <c r="Q18" i="38" l="1"/>
  <c r="R18" i="38"/>
  <c r="Q50" i="38"/>
  <c r="Q48" i="38"/>
  <c r="R14" i="38"/>
  <c r="R15" i="32"/>
  <c r="R12" i="32"/>
  <c r="Q14" i="38"/>
  <c r="AH24" i="32"/>
  <c r="AH34" i="32"/>
  <c r="R15" i="38"/>
  <c r="Q15" i="32"/>
  <c r="R16" i="38"/>
  <c r="AH33" i="32"/>
  <c r="AL508" i="27"/>
  <c r="Q20" i="32"/>
  <c r="Q52" i="30"/>
  <c r="AL216" i="27"/>
  <c r="AL190" i="27"/>
  <c r="AL188" i="27"/>
  <c r="AL511" i="27"/>
  <c r="R12" i="38" l="1"/>
  <c r="R11" i="32"/>
  <c r="Q15" i="38"/>
  <c r="AL200" i="27"/>
  <c r="AL502" i="27" s="1"/>
  <c r="AL506" i="27"/>
  <c r="AL199" i="27"/>
  <c r="AL212" i="27"/>
  <c r="U23" i="29" s="1"/>
  <c r="Q16" i="38"/>
  <c r="Q14" i="30"/>
  <c r="Q9" i="30"/>
  <c r="Q50" i="30"/>
  <c r="Q7" i="30" s="1"/>
  <c r="R11" i="38"/>
  <c r="AH20" i="32"/>
  <c r="Q23" i="32"/>
  <c r="Q25" i="32"/>
  <c r="Q12" i="38"/>
  <c r="R8" i="32" l="1"/>
  <c r="R9" i="32"/>
  <c r="Q11" i="38"/>
  <c r="U28" i="29"/>
  <c r="AL219" i="27"/>
  <c r="AL554" i="27"/>
  <c r="AL220" i="27"/>
  <c r="AL504" i="27"/>
  <c r="Q36" i="32"/>
  <c r="R8" i="38"/>
  <c r="AH23" i="32"/>
  <c r="Q64" i="30"/>
  <c r="Q12" i="30"/>
  <c r="Q6" i="30" s="1"/>
  <c r="AH25" i="32"/>
  <c r="R9" i="38"/>
  <c r="U8" i="29" l="1"/>
  <c r="R6" i="32"/>
  <c r="Q19" i="30"/>
  <c r="Q20" i="30"/>
  <c r="AL559" i="27"/>
  <c r="Q9" i="38"/>
  <c r="Q8" i="38"/>
  <c r="AH36" i="32"/>
  <c r="Q6" i="32"/>
  <c r="U26" i="29" l="1"/>
  <c r="AL72" i="27" l="1"/>
  <c r="U30" i="29"/>
  <c r="AL530" i="27"/>
  <c r="AL529" i="27"/>
  <c r="AL308" i="27"/>
  <c r="U10" i="29" l="1"/>
  <c r="V10" i="29"/>
  <c r="U20" i="29" l="1"/>
  <c r="AL63" i="27"/>
  <c r="AL74" i="27"/>
  <c r="U18" i="29" l="1"/>
  <c r="U31" i="29" s="1"/>
  <c r="U22" i="29"/>
  <c r="U29" i="29" s="1"/>
  <c r="AL494" i="27" l="1"/>
  <c r="AL221" i="27"/>
  <c r="Q42" i="38"/>
  <c r="Q44" i="31" l="1"/>
  <c r="AL70" i="27" l="1"/>
  <c r="Q46" i="31" l="1"/>
  <c r="Q51" i="31" s="1"/>
  <c r="Q33" i="31" l="1"/>
  <c r="Q53" i="31" l="1"/>
  <c r="AL156" i="27"/>
  <c r="AL155" i="27" s="1"/>
  <c r="Q30" i="31" l="1"/>
  <c r="R30" i="31"/>
  <c r="AL96" i="27"/>
  <c r="AL109" i="27"/>
  <c r="AL464" i="27" s="1"/>
  <c r="AL35" i="29" l="1"/>
  <c r="U35" i="29" s="1"/>
  <c r="R27" i="31"/>
  <c r="R25" i="31" s="1"/>
  <c r="AH25" i="31"/>
  <c r="V35" i="29"/>
  <c r="Q27" i="31"/>
  <c r="Q25" i="31" s="1"/>
  <c r="AL525" i="27"/>
  <c r="AH16" i="31"/>
  <c r="AL99" i="27"/>
  <c r="AL12" i="29" s="1"/>
  <c r="AL538" i="27" l="1"/>
  <c r="Q14" i="31"/>
  <c r="AL41" i="29"/>
  <c r="R14" i="31"/>
  <c r="Q16" i="31"/>
  <c r="R16" i="31" s="1"/>
  <c r="AL150" i="27"/>
  <c r="AL106" i="27"/>
  <c r="AL149" i="27" l="1"/>
  <c r="AL170" i="27" s="1"/>
  <c r="U41" i="29"/>
  <c r="V41" i="29"/>
  <c r="AL130" i="27"/>
  <c r="AL535" i="27" s="1"/>
  <c r="Q6" i="31"/>
  <c r="R6" i="31"/>
  <c r="AL536" i="27" l="1"/>
  <c r="AL539" i="27"/>
  <c r="AL46" i="27" l="1"/>
  <c r="AL441" i="27" s="1"/>
  <c r="AL141" i="27"/>
  <c r="AL526" i="27"/>
  <c r="AL527" i="27"/>
  <c r="AL176" i="27" l="1"/>
  <c r="AL431" i="27"/>
  <c r="AL497" i="27"/>
  <c r="AL143" i="27" l="1"/>
  <c r="AL175" i="27" l="1"/>
  <c r="AL35" i="27"/>
  <c r="AL436" i="27" l="1"/>
  <c r="AL315" i="27"/>
  <c r="U44" i="29"/>
  <c r="AL556" i="27"/>
  <c r="AL331" i="27"/>
  <c r="AL496" i="27"/>
  <c r="AL499" i="27"/>
  <c r="AL493" i="27"/>
  <c r="V33" i="29" l="1"/>
  <c r="U33" i="29"/>
  <c r="AL56" i="27"/>
  <c r="AL58" i="27" s="1"/>
  <c r="AL59" i="27" s="1"/>
  <c r="AL61" i="27" l="1"/>
  <c r="AL564" i="27"/>
  <c r="AL495" i="27"/>
  <c r="AL560" i="27"/>
  <c r="AL498" i="27"/>
  <c r="R71" i="30" l="1"/>
  <c r="R25" i="30" s="1"/>
  <c r="AM213" i="27" l="1"/>
  <c r="AM516" i="27"/>
  <c r="V24" i="29" l="1"/>
  <c r="AM522" i="27" l="1"/>
  <c r="V29" i="29"/>
  <c r="R75" i="30"/>
  <c r="AM207" i="27"/>
  <c r="AM217" i="27" s="1"/>
  <c r="V9" i="29" l="1"/>
  <c r="R27" i="30"/>
  <c r="R74" i="30"/>
  <c r="R70" i="30" l="1"/>
  <c r="R24" i="30" s="1"/>
  <c r="AM216" i="27" l="1"/>
  <c r="AM515" i="27"/>
  <c r="R72" i="30"/>
  <c r="R26" i="30" s="1"/>
  <c r="AM214" i="27" l="1"/>
  <c r="AM517" i="27"/>
  <c r="AM519" i="27"/>
  <c r="R69" i="30" l="1"/>
  <c r="R23" i="30" s="1"/>
  <c r="AM514" i="27" l="1"/>
  <c r="AM518" i="27"/>
  <c r="AM202" i="27"/>
  <c r="AM513" i="27" s="1"/>
  <c r="AM215" i="27"/>
  <c r="AM499" i="27" l="1"/>
  <c r="AM498" i="27"/>
  <c r="R68" i="30"/>
  <c r="R22" i="30" s="1"/>
  <c r="AM210" i="27"/>
  <c r="R78" i="30" s="1"/>
  <c r="R28" i="30" s="1"/>
  <c r="AM212" i="27"/>
  <c r="V23" i="29" s="1"/>
  <c r="V28" i="29" l="1"/>
  <c r="AM220" i="27"/>
  <c r="AM63" i="27" s="1"/>
  <c r="AM504" i="27"/>
  <c r="AM503" i="27"/>
  <c r="AM219" i="27"/>
  <c r="V18" i="29" l="1"/>
  <c r="V31" i="29" s="1"/>
  <c r="R42" i="38"/>
  <c r="R6" i="38" s="1"/>
  <c r="V6" i="29"/>
  <c r="AM221" i="27"/>
  <c r="AM559" i="27"/>
  <c r="V8" i="29"/>
  <c r="AJ303" i="27" l="1"/>
  <c r="AJ310" i="27" l="1"/>
  <c r="AJ68" i="27" l="1"/>
  <c r="O36" i="31" s="1"/>
  <c r="O27" i="32"/>
  <c r="O56" i="30"/>
  <c r="O28" i="32"/>
  <c r="AV28" i="32" s="1"/>
  <c r="O57" i="30"/>
  <c r="O29" i="32"/>
  <c r="AV29" i="32" s="1"/>
  <c r="O58" i="30"/>
  <c r="AV27" i="32" l="1"/>
  <c r="O37" i="30" l="1"/>
  <c r="O32" i="30" l="1"/>
  <c r="AJ223" i="27"/>
  <c r="AJ230" i="27" s="1"/>
  <c r="O45" i="30"/>
  <c r="O46" i="30" l="1"/>
  <c r="AJ448" i="27" l="1"/>
  <c r="AJ462" i="27" l="1"/>
  <c r="BA38" i="29" s="1"/>
  <c r="S38" i="29" s="1"/>
  <c r="AJ444" i="27" l="1"/>
  <c r="AJ452" i="27" s="1"/>
  <c r="AJ449" i="27" l="1"/>
  <c r="AJ447" i="27" l="1"/>
  <c r="AJ457" i="27" l="1"/>
  <c r="BA15" i="29" s="1"/>
  <c r="S15" i="29" s="1"/>
  <c r="AJ463" i="27" l="1"/>
  <c r="BA39" i="29" s="1"/>
  <c r="S39" i="29" s="1"/>
  <c r="AJ461" i="27" l="1"/>
  <c r="BA37" i="29" l="1"/>
  <c r="S37" i="29" s="1"/>
  <c r="AJ101" i="27" l="1"/>
  <c r="AJ443" i="27" l="1"/>
  <c r="AJ451" i="27" s="1"/>
  <c r="AJ103" i="27"/>
  <c r="S46" i="29" l="1"/>
  <c r="AJ445" i="27" l="1"/>
  <c r="AJ453" i="27" s="1"/>
  <c r="S47" i="29" l="1"/>
  <c r="O71" i="30" l="1"/>
  <c r="O25" i="30" s="1"/>
  <c r="AJ516" i="27" l="1"/>
  <c r="O75" i="30" l="1"/>
  <c r="O27" i="30" s="1"/>
  <c r="AJ522" i="27"/>
  <c r="S45" i="29" l="1"/>
  <c r="AJ456" i="27" l="1"/>
  <c r="AJ371" i="27"/>
  <c r="BA14" i="29" l="1"/>
  <c r="AJ458" i="27"/>
  <c r="BA16" i="29" s="1"/>
  <c r="S16" i="29" s="1"/>
  <c r="AJ459" i="27" l="1"/>
  <c r="S14" i="29"/>
  <c r="S12" i="29" s="1"/>
  <c r="BA12" i="29"/>
  <c r="AJ515" i="27" l="1"/>
  <c r="O70" i="30"/>
  <c r="O24" i="30" s="1"/>
  <c r="O72" i="30"/>
  <c r="O26" i="30" s="1"/>
  <c r="AJ517" i="27" l="1"/>
  <c r="AJ519" i="27"/>
  <c r="O69" i="30" l="1"/>
  <c r="O23" i="30" s="1"/>
  <c r="AJ202" i="27" l="1"/>
  <c r="AJ518" i="27"/>
  <c r="AJ514" i="27"/>
  <c r="O68" i="30" l="1"/>
  <c r="O22" i="30" s="1"/>
  <c r="AJ513" i="27"/>
  <c r="AJ102" i="27" l="1"/>
  <c r="AJ425" i="27"/>
  <c r="AJ427" i="27" l="1"/>
  <c r="AJ159" i="27" l="1"/>
  <c r="O43" i="31" l="1"/>
  <c r="O41" i="31"/>
  <c r="AJ163" i="27" l="1"/>
  <c r="AJ249" i="27"/>
  <c r="O20" i="31"/>
  <c r="O10" i="31" s="1"/>
  <c r="O35" i="31"/>
  <c r="O59" i="30"/>
  <c r="O30" i="32"/>
  <c r="O29" i="31"/>
  <c r="P12" i="31"/>
  <c r="AH12" i="31"/>
  <c r="AV30" i="32" l="1"/>
  <c r="AV18" i="31"/>
  <c r="O19" i="31"/>
  <c r="O9" i="31" s="1"/>
  <c r="O42" i="31" l="1"/>
  <c r="O50" i="31" s="1"/>
  <c r="O18" i="31"/>
  <c r="AV13" i="31" l="1"/>
  <c r="AJ243" i="27"/>
  <c r="AV12" i="31"/>
  <c r="O22" i="31"/>
  <c r="P13" i="31"/>
  <c r="AH13" i="31"/>
  <c r="AJ248" i="27" l="1"/>
  <c r="AV11" i="31"/>
  <c r="O40" i="31"/>
  <c r="O23" i="31"/>
  <c r="O13" i="31" s="1"/>
  <c r="AJ238" i="27"/>
  <c r="O37" i="31" s="1"/>
  <c r="O49" i="31" s="1"/>
  <c r="O12" i="31"/>
  <c r="P11" i="31"/>
  <c r="AP11" i="31"/>
  <c r="AH11" i="31"/>
  <c r="O21" i="31" l="1"/>
  <c r="AJ245" i="27"/>
  <c r="O11" i="31"/>
  <c r="AJ246" i="27"/>
  <c r="AJ563" i="27" l="1"/>
  <c r="P8" i="31"/>
  <c r="AP8" i="31"/>
  <c r="AH8" i="31"/>
  <c r="AV8" i="31"/>
  <c r="O8" i="31"/>
  <c r="AJ512" i="27" l="1"/>
  <c r="O45" i="38"/>
  <c r="O60" i="30"/>
  <c r="O47" i="38"/>
  <c r="O54" i="30"/>
  <c r="AJ510" i="27"/>
  <c r="O22" i="32"/>
  <c r="AJ214" i="27"/>
  <c r="O46" i="38"/>
  <c r="AJ189" i="27"/>
  <c r="AJ213" i="27" l="1"/>
  <c r="AJ509" i="27"/>
  <c r="O53" i="30"/>
  <c r="O10" i="30" s="1"/>
  <c r="O21" i="32"/>
  <c r="AH13" i="32" s="1"/>
  <c r="AJ216" i="27"/>
  <c r="O52" i="30"/>
  <c r="O9" i="30" s="1"/>
  <c r="AJ508" i="27"/>
  <c r="O20" i="32"/>
  <c r="AH11" i="32" s="1"/>
  <c r="O22" i="38"/>
  <c r="O46" i="31"/>
  <c r="O31" i="32"/>
  <c r="AV31" i="32" s="1"/>
  <c r="O49" i="38"/>
  <c r="P13" i="38"/>
  <c r="AN13" i="38"/>
  <c r="AG13" i="38"/>
  <c r="P11" i="38"/>
  <c r="AN11" i="38"/>
  <c r="AG11" i="38"/>
  <c r="AV22" i="32"/>
  <c r="AV14" i="32"/>
  <c r="O14" i="32"/>
  <c r="AH14" i="32"/>
  <c r="AP14" i="32"/>
  <c r="O11" i="30"/>
  <c r="O16" i="30"/>
  <c r="P14" i="38"/>
  <c r="AN14" i="38"/>
  <c r="AG14" i="38"/>
  <c r="O30" i="31"/>
  <c r="O13" i="38" l="1"/>
  <c r="AP13" i="32"/>
  <c r="AV13" i="32"/>
  <c r="O13" i="32"/>
  <c r="O24" i="32"/>
  <c r="AV24" i="32" s="1"/>
  <c r="AV21" i="32"/>
  <c r="O15" i="30"/>
  <c r="O11" i="32"/>
  <c r="AV11" i="32"/>
  <c r="AV20" i="32"/>
  <c r="AT13" i="38"/>
  <c r="AT25" i="38"/>
  <c r="AT12" i="38" s="1"/>
  <c r="O14" i="30"/>
  <c r="AP11" i="32"/>
  <c r="AT14" i="38"/>
  <c r="O23" i="38"/>
  <c r="O14" i="38" s="1"/>
  <c r="O61" i="30"/>
  <c r="O32" i="32"/>
  <c r="AJ198" i="27"/>
  <c r="O52" i="38"/>
  <c r="AJ521" i="27"/>
  <c r="P12" i="38"/>
  <c r="AN12" i="38"/>
  <c r="AG12" i="38"/>
  <c r="O25" i="38" l="1"/>
  <c r="AH12" i="32"/>
  <c r="AP12" i="32"/>
  <c r="O12" i="32"/>
  <c r="AV12" i="32"/>
  <c r="O12" i="38"/>
  <c r="P15" i="38"/>
  <c r="AN15" i="38"/>
  <c r="AG15" i="38"/>
  <c r="O53" i="38"/>
  <c r="AT16" i="38" s="1"/>
  <c r="AJ555" i="27"/>
  <c r="AV32" i="32"/>
  <c r="O33" i="32"/>
  <c r="AV33" i="32" s="1"/>
  <c r="O34" i="32"/>
  <c r="O29" i="38"/>
  <c r="O18" i="30"/>
  <c r="O17" i="30"/>
  <c r="O62" i="30"/>
  <c r="O21" i="38"/>
  <c r="O11" i="38" s="1"/>
  <c r="AT11" i="38"/>
  <c r="O28" i="38"/>
  <c r="O15" i="38" s="1"/>
  <c r="AT15" i="38"/>
  <c r="O16" i="38" l="1"/>
  <c r="P15" i="32"/>
  <c r="AV34" i="32"/>
  <c r="AP15" i="32"/>
  <c r="AH15" i="32"/>
  <c r="O44" i="38"/>
  <c r="AJ188" i="27"/>
  <c r="O51" i="30"/>
  <c r="AJ507" i="27"/>
  <c r="O19" i="32"/>
  <c r="AJ190" i="27"/>
  <c r="AJ511" i="27"/>
  <c r="AJ215" i="27"/>
  <c r="AG16" i="38"/>
  <c r="AN16" i="38"/>
  <c r="P16" i="38"/>
  <c r="O45" i="31" l="1"/>
  <c r="AV19" i="32"/>
  <c r="AV23" i="32" s="1"/>
  <c r="O25" i="32"/>
  <c r="O23" i="32"/>
  <c r="AV10" i="32"/>
  <c r="O10" i="32"/>
  <c r="AH10" i="32"/>
  <c r="AP10" i="32"/>
  <c r="O13" i="30"/>
  <c r="O8" i="30"/>
  <c r="O50" i="30"/>
  <c r="AJ506" i="27"/>
  <c r="AJ212" i="27"/>
  <c r="S23" i="29" s="1"/>
  <c r="AJ199" i="27"/>
  <c r="AJ200" i="27"/>
  <c r="O48" i="38"/>
  <c r="O50" i="38"/>
  <c r="P10" i="38"/>
  <c r="AN10" i="38"/>
  <c r="AG10" i="38"/>
  <c r="O7" i="30" l="1"/>
  <c r="O12" i="30"/>
  <c r="O64" i="30"/>
  <c r="P9" i="38"/>
  <c r="AN9" i="38"/>
  <c r="AG9" i="38"/>
  <c r="P8" i="38"/>
  <c r="AG8" i="38"/>
  <c r="AN8" i="38"/>
  <c r="AV8" i="32"/>
  <c r="O8" i="32"/>
  <c r="AP8" i="32"/>
  <c r="AH8" i="32"/>
  <c r="O36" i="32"/>
  <c r="AM540" i="27"/>
  <c r="AL540" i="27"/>
  <c r="AJ502" i="27"/>
  <c r="AJ554" i="27"/>
  <c r="AV25" i="32"/>
  <c r="O9" i="32"/>
  <c r="AV9" i="32"/>
  <c r="AP9" i="32"/>
  <c r="AH9" i="32"/>
  <c r="S28" i="29"/>
  <c r="AJ219" i="27"/>
  <c r="O6" i="30" l="1"/>
  <c r="T8" i="29"/>
  <c r="AL8" i="29"/>
  <c r="AT8" i="29"/>
  <c r="BA8" i="29"/>
  <c r="S8" i="29"/>
  <c r="AV36" i="32"/>
  <c r="AH6" i="32"/>
  <c r="AP6" i="32"/>
  <c r="O20" i="30"/>
  <c r="O19" i="30"/>
  <c r="AJ135" i="27" l="1"/>
  <c r="AJ524" i="27" l="1"/>
  <c r="AJ568" i="27"/>
  <c r="O27" i="31" l="1"/>
  <c r="AJ96" i="27" l="1"/>
  <c r="O26" i="31"/>
  <c r="O25" i="31" s="1"/>
  <c r="O44" i="31" l="1"/>
  <c r="O51" i="31" s="1"/>
  <c r="AJ537" i="27"/>
  <c r="AV16" i="31"/>
  <c r="AK537" i="27" l="1"/>
  <c r="O33" i="31"/>
  <c r="O53" i="31" s="1"/>
  <c r="AM537" i="27"/>
  <c r="AL537" i="27"/>
  <c r="AV6" i="31"/>
  <c r="O16" i="31"/>
  <c r="O6" i="31" s="1"/>
  <c r="P14" i="31" l="1"/>
  <c r="AP14" i="31"/>
  <c r="AH14" i="31"/>
  <c r="O14" i="31"/>
  <c r="AV14" i="31"/>
  <c r="P6" i="31"/>
  <c r="AP6" i="31"/>
  <c r="AH6" i="31"/>
  <c r="AJ74" i="27" l="1"/>
  <c r="S22" i="29" l="1"/>
  <c r="S29" i="29" s="1"/>
  <c r="BA9" i="29" l="1"/>
  <c r="S9" i="29"/>
  <c r="AJ494" i="27" l="1"/>
  <c r="O76" i="30" l="1"/>
  <c r="O74" i="30" s="1"/>
  <c r="AJ207" i="27"/>
  <c r="AJ217" i="27" s="1"/>
  <c r="AJ312" i="27"/>
  <c r="AJ314" i="27" s="1"/>
  <c r="AV40" i="32" l="1"/>
  <c r="AV6" i="32" s="1"/>
  <c r="AJ540" i="27"/>
  <c r="AJ210" i="27"/>
  <c r="O78" i="30" s="1"/>
  <c r="O28" i="30" s="1"/>
  <c r="O50" i="32"/>
  <c r="O15" i="32" s="1"/>
  <c r="AV15" i="32"/>
  <c r="AV51" i="32"/>
  <c r="O48" i="32"/>
  <c r="AJ503" i="27" l="1"/>
  <c r="AJ504" i="27"/>
  <c r="AJ220" i="27"/>
  <c r="AJ63" i="27" s="1"/>
  <c r="S18" i="29" s="1"/>
  <c r="O51" i="32"/>
  <c r="O40" i="32"/>
  <c r="O6" i="32" s="1"/>
  <c r="AJ221" i="27" l="1"/>
  <c r="AJ559" i="27"/>
  <c r="AJ152" i="27" l="1"/>
  <c r="AJ153" i="27" l="1"/>
  <c r="AJ158" i="27" l="1"/>
  <c r="AJ529" i="27"/>
  <c r="AJ530" i="27"/>
  <c r="AJ308" i="27" l="1"/>
  <c r="AJ72" i="27"/>
  <c r="S30" i="29" l="1"/>
  <c r="AL10" i="29" s="1"/>
  <c r="S31" i="29"/>
  <c r="O42" i="38"/>
  <c r="BA6" i="29"/>
  <c r="S6" i="29"/>
  <c r="T10" i="29"/>
  <c r="BA10" i="29"/>
  <c r="S10" i="29"/>
  <c r="AT10" i="29" l="1"/>
  <c r="AJ150" i="27"/>
  <c r="AJ149" i="27" s="1"/>
  <c r="AT24" i="38" l="1"/>
  <c r="AT26" i="38"/>
  <c r="O20" i="38"/>
  <c r="AT10" i="38"/>
  <c r="O10" i="38" l="1"/>
  <c r="O26" i="38"/>
  <c r="O24" i="38"/>
  <c r="AJ87" i="27"/>
  <c r="O9" i="38"/>
  <c r="AT9" i="38"/>
  <c r="O8" i="38"/>
  <c r="AT8" i="38"/>
  <c r="AT18" i="38" l="1"/>
  <c r="O18" i="38" s="1"/>
  <c r="O6" i="38" s="1"/>
  <c r="AJ178" i="27"/>
  <c r="AJ99" i="27"/>
  <c r="AJ106" i="27" s="1"/>
  <c r="AJ156" i="27"/>
  <c r="AT6" i="38"/>
  <c r="AJ533" i="27" l="1"/>
  <c r="AJ155" i="27"/>
  <c r="AJ109" i="27"/>
  <c r="AJ538" i="27" l="1"/>
  <c r="AJ464" i="27"/>
  <c r="AJ170" i="27"/>
  <c r="BA35" i="29"/>
  <c r="S35" i="29" s="1"/>
  <c r="AJ130" i="27"/>
  <c r="AJ525" i="27"/>
  <c r="AJ539" i="27" l="1"/>
  <c r="AJ570" i="27"/>
  <c r="BA41" i="29"/>
  <c r="AJ536" i="27"/>
  <c r="AJ535" i="27"/>
  <c r="S41" i="29"/>
  <c r="AJ141" i="27" l="1"/>
  <c r="AJ526" i="27"/>
  <c r="AJ527" i="27"/>
  <c r="AJ176" i="27" l="1"/>
  <c r="AJ431" i="27"/>
  <c r="AJ143" i="27"/>
  <c r="AJ175" i="27" l="1"/>
  <c r="I5" i="67" s="1"/>
  <c r="I16" i="67" s="1"/>
  <c r="I4" i="67"/>
  <c r="I12" i="67" s="1"/>
  <c r="AJ35" i="27"/>
  <c r="AJ436" i="27" l="1"/>
  <c r="AJ315" i="27"/>
  <c r="AM543" i="27"/>
  <c r="AM569" i="27"/>
  <c r="AK534" i="27"/>
  <c r="AL569" i="27"/>
  <c r="AJ499" i="27"/>
  <c r="AM548" i="27"/>
  <c r="S44" i="29"/>
  <c r="AL33" i="29" s="1"/>
  <c r="AJ496" i="27"/>
  <c r="AJ556" i="27"/>
  <c r="AL548" i="27"/>
  <c r="AK548" i="27"/>
  <c r="AM534" i="27"/>
  <c r="AJ543" i="27"/>
  <c r="AJ548" i="27"/>
  <c r="AJ534" i="27"/>
  <c r="AJ493" i="27"/>
  <c r="AL543" i="27"/>
  <c r="AK569" i="27"/>
  <c r="AJ569" i="27"/>
  <c r="AL534" i="27"/>
  <c r="AK543" i="27"/>
  <c r="AJ331" i="27"/>
  <c r="AJ46" i="27"/>
  <c r="AJ56" i="27"/>
  <c r="AJ58" i="27" s="1"/>
  <c r="I7" i="67" s="1"/>
  <c r="AJ59" i="27" l="1"/>
  <c r="AJ544" i="27"/>
  <c r="AJ497" i="27"/>
  <c r="AJ441" i="27"/>
  <c r="AJ560" i="27"/>
  <c r="AK550" i="27"/>
  <c r="S33" i="29"/>
  <c r="T33" i="29"/>
  <c r="AJ549" i="27"/>
  <c r="BA33" i="29"/>
  <c r="AT33" i="29"/>
  <c r="AJ498" i="27"/>
  <c r="AL549" i="27"/>
  <c r="AM549" i="27"/>
  <c r="AJ564" i="27"/>
  <c r="AK549" i="27"/>
  <c r="AJ495" i="27"/>
  <c r="AK544" i="27"/>
  <c r="AL544" i="27"/>
  <c r="AM544" i="27"/>
  <c r="AJ61" i="27"/>
  <c r="AJ550" i="27" l="1"/>
  <c r="I8" i="67"/>
  <c r="AJ545" i="27"/>
  <c r="AL550" i="27"/>
  <c r="AM545" i="27"/>
  <c r="AL545" i="27"/>
  <c r="AM550" i="27"/>
  <c r="AK545" i="27"/>
  <c r="I14" i="67" l="1"/>
  <c r="I13" i="67"/>
  <c r="I18" i="67"/>
  <c r="S28" i="32" l="1"/>
  <c r="AW28" i="32" s="1"/>
  <c r="S57" i="30"/>
  <c r="S29" i="32" l="1"/>
  <c r="AW29" i="32" s="1"/>
  <c r="S58" i="30"/>
  <c r="S27" i="32" l="1"/>
  <c r="S56" i="30"/>
  <c r="AW27" i="32" l="1"/>
  <c r="AN303" i="27" l="1"/>
  <c r="AN310" i="27" l="1"/>
  <c r="AN102" i="27" l="1"/>
  <c r="AN159" i="27" l="1"/>
  <c r="S43" i="31" l="1"/>
  <c r="AN249" i="27" l="1"/>
  <c r="S41" i="31"/>
  <c r="AX12" i="31" l="1"/>
  <c r="AQ12" i="31"/>
  <c r="AI12" i="31"/>
  <c r="T12" i="31"/>
  <c r="S35" i="31"/>
  <c r="S30" i="32" l="1"/>
  <c r="S59" i="30"/>
  <c r="AW30" i="32" l="1"/>
  <c r="AN238" i="27" l="1"/>
  <c r="S45" i="31"/>
  <c r="S37" i="31" l="1"/>
  <c r="S49" i="31" s="1"/>
  <c r="AX8" i="31" s="1"/>
  <c r="AQ8" i="31" l="1"/>
  <c r="AN248" i="27"/>
  <c r="S42" i="31"/>
  <c r="AN243" i="27"/>
  <c r="AX13" i="31" l="1"/>
  <c r="AQ13" i="31"/>
  <c r="S50" i="31"/>
  <c r="AX11" i="31" s="1"/>
  <c r="T8" i="31"/>
  <c r="AI8" i="31"/>
  <c r="T13" i="31"/>
  <c r="AI13" i="31"/>
  <c r="S40" i="31"/>
  <c r="AN245" i="27"/>
  <c r="AI11" i="31"/>
  <c r="AQ11" i="31" l="1"/>
  <c r="T11" i="31"/>
  <c r="AN246" i="27"/>
  <c r="AN563" i="27"/>
  <c r="AN312" i="27" l="1"/>
  <c r="W25" i="29"/>
  <c r="W20" i="29"/>
  <c r="AN74" i="27"/>
  <c r="S76" i="30"/>
  <c r="W22" i="29" l="1"/>
  <c r="AN72" i="27" l="1"/>
  <c r="S20" i="31" l="1"/>
  <c r="S10" i="31" s="1"/>
  <c r="S29" i="31" l="1"/>
  <c r="AW18" i="31" l="1"/>
  <c r="S19" i="31"/>
  <c r="S22" i="31"/>
  <c r="AW12" i="31"/>
  <c r="S18" i="31" l="1"/>
  <c r="S8" i="31" s="1"/>
  <c r="S9" i="31"/>
  <c r="AW8" i="31"/>
  <c r="AW21" i="31"/>
  <c r="AW11" i="31" s="1"/>
  <c r="S12" i="31"/>
  <c r="S23" i="31"/>
  <c r="S13" i="31" s="1"/>
  <c r="AW13" i="31"/>
  <c r="S21" i="31" l="1"/>
  <c r="S11" i="31" s="1"/>
  <c r="S26" i="31" l="1"/>
  <c r="AN152" i="27"/>
  <c r="AN153" i="27"/>
  <c r="S23" i="38" l="1"/>
  <c r="AN510" i="27"/>
  <c r="S22" i="32"/>
  <c r="S47" i="38"/>
  <c r="AV14" i="38" s="1"/>
  <c r="S54" i="30"/>
  <c r="AN512" i="27"/>
  <c r="S21" i="32"/>
  <c r="AX13" i="32" s="1"/>
  <c r="AN189" i="27"/>
  <c r="S46" i="38"/>
  <c r="AN509" i="27"/>
  <c r="S53" i="30"/>
  <c r="S21" i="38"/>
  <c r="AO13" i="38" l="1"/>
  <c r="AV13" i="38"/>
  <c r="AQ14" i="32"/>
  <c r="AX14" i="32"/>
  <c r="AH14" i="38"/>
  <c r="AO14" i="38"/>
  <c r="AQ13" i="32"/>
  <c r="T13" i="38"/>
  <c r="AH13" i="38"/>
  <c r="T14" i="32"/>
  <c r="AI14" i="32"/>
  <c r="T13" i="32"/>
  <c r="AI13" i="32"/>
  <c r="AU14" i="38"/>
  <c r="T14" i="38"/>
  <c r="S49" i="38"/>
  <c r="AW22" i="32"/>
  <c r="S14" i="32"/>
  <c r="AW14" i="32"/>
  <c r="S10" i="30"/>
  <c r="S15" i="30"/>
  <c r="S14" i="38"/>
  <c r="S31" i="32"/>
  <c r="S60" i="30"/>
  <c r="AN198" i="27"/>
  <c r="AN521" i="27"/>
  <c r="S52" i="38"/>
  <c r="S24" i="32"/>
  <c r="AW21" i="32"/>
  <c r="S13" i="32"/>
  <c r="AW13" i="32"/>
  <c r="S32" i="32"/>
  <c r="AW32" i="32" s="1"/>
  <c r="S61" i="30"/>
  <c r="AU25" i="38"/>
  <c r="S22" i="38"/>
  <c r="AU13" i="38"/>
  <c r="S16" i="30"/>
  <c r="S11" i="30"/>
  <c r="S20" i="38"/>
  <c r="AU24" i="38"/>
  <c r="AU26" i="38"/>
  <c r="AV34" i="38" l="1"/>
  <c r="AO34" i="38"/>
  <c r="S26" i="38"/>
  <c r="S24" i="38"/>
  <c r="S13" i="38"/>
  <c r="S25" i="38"/>
  <c r="S12" i="38" s="1"/>
  <c r="AO15" i="38"/>
  <c r="AV15" i="38"/>
  <c r="AO12" i="38"/>
  <c r="AV12" i="38"/>
  <c r="AQ12" i="32"/>
  <c r="AX12" i="32"/>
  <c r="T12" i="32"/>
  <c r="AI12" i="32"/>
  <c r="T12" i="38"/>
  <c r="AH12" i="38"/>
  <c r="T15" i="38"/>
  <c r="AH15" i="38"/>
  <c r="AW24" i="32"/>
  <c r="S12" i="32"/>
  <c r="AW12" i="32"/>
  <c r="AW31" i="32"/>
  <c r="S34" i="32"/>
  <c r="AX15" i="32" s="1"/>
  <c r="S33" i="32"/>
  <c r="AW33" i="32" s="1"/>
  <c r="AU12" i="38"/>
  <c r="S53" i="38"/>
  <c r="AN555" i="27"/>
  <c r="S19" i="32"/>
  <c r="S44" i="38"/>
  <c r="AV10" i="38" s="1"/>
  <c r="AN507" i="27"/>
  <c r="S51" i="30"/>
  <c r="S17" i="30"/>
  <c r="S18" i="30"/>
  <c r="S62" i="30"/>
  <c r="AQ15" i="32" l="1"/>
  <c r="AQ10" i="32"/>
  <c r="AX10" i="32"/>
  <c r="AH10" i="38"/>
  <c r="AO10" i="38"/>
  <c r="T10" i="32"/>
  <c r="AI10" i="32"/>
  <c r="T15" i="32"/>
  <c r="AI15" i="32"/>
  <c r="S10" i="38"/>
  <c r="T10" i="38"/>
  <c r="AW34" i="32"/>
  <c r="S15" i="32"/>
  <c r="AW15" i="32"/>
  <c r="AU10" i="38"/>
  <c r="S8" i="30"/>
  <c r="S13" i="30"/>
  <c r="AW19" i="32"/>
  <c r="S10" i="32"/>
  <c r="AW10" i="32"/>
  <c r="AN508" i="27" l="1"/>
  <c r="S45" i="38"/>
  <c r="S20" i="32"/>
  <c r="S52" i="30"/>
  <c r="AN190" i="27"/>
  <c r="AN188" i="27"/>
  <c r="AN511" i="27"/>
  <c r="AO11" i="38" l="1"/>
  <c r="AV11" i="38"/>
  <c r="AQ11" i="32"/>
  <c r="AX11" i="32"/>
  <c r="T11" i="32"/>
  <c r="AI11" i="32"/>
  <c r="T11" i="38"/>
  <c r="AH11" i="38"/>
  <c r="AN506" i="27"/>
  <c r="AN199" i="27"/>
  <c r="AN200" i="27"/>
  <c r="AW20" i="32"/>
  <c r="S11" i="32"/>
  <c r="AW11" i="32"/>
  <c r="S23" i="32"/>
  <c r="AX8" i="32" s="1"/>
  <c r="S25" i="32"/>
  <c r="S14" i="30"/>
  <c r="S9" i="30"/>
  <c r="S50" i="30"/>
  <c r="AU11" i="38"/>
  <c r="S11" i="38"/>
  <c r="S48" i="38"/>
  <c r="S50" i="38"/>
  <c r="AV33" i="38" l="1"/>
  <c r="AO33" i="38"/>
  <c r="AO8" i="38"/>
  <c r="AO9" i="38"/>
  <c r="AV9" i="38"/>
  <c r="AQ8" i="32"/>
  <c r="AV8" i="38"/>
  <c r="AQ9" i="32"/>
  <c r="AX9" i="32"/>
  <c r="T9" i="32"/>
  <c r="AI9" i="32"/>
  <c r="T8" i="32"/>
  <c r="AI8" i="32"/>
  <c r="T8" i="38"/>
  <c r="AH8" i="38"/>
  <c r="T9" i="38"/>
  <c r="AH9" i="38"/>
  <c r="S12" i="30"/>
  <c r="S7" i="30"/>
  <c r="S64" i="30"/>
  <c r="AW25" i="32"/>
  <c r="S9" i="32"/>
  <c r="AW9" i="32"/>
  <c r="S36" i="32"/>
  <c r="AW23" i="32"/>
  <c r="S8" i="32"/>
  <c r="AW8" i="32"/>
  <c r="AU9" i="38"/>
  <c r="S9" i="38"/>
  <c r="AU8" i="38"/>
  <c r="S8" i="38"/>
  <c r="AN502" i="27"/>
  <c r="AN554" i="27"/>
  <c r="S6" i="30" l="1"/>
  <c r="AW36" i="32"/>
  <c r="S20" i="30"/>
  <c r="S19" i="30"/>
  <c r="AN494" i="27" l="1"/>
  <c r="S28" i="38" l="1"/>
  <c r="S15" i="38" s="1"/>
  <c r="AU15" i="38"/>
  <c r="S29" i="38"/>
  <c r="S16" i="38" s="1"/>
  <c r="AU16" i="38"/>
  <c r="AN135" i="27" l="1"/>
  <c r="AN568" i="27" l="1"/>
  <c r="AN163" i="27" l="1"/>
  <c r="AN158" i="27" l="1"/>
  <c r="S46" i="31" l="1"/>
  <c r="AN156" i="27" l="1"/>
  <c r="AN155" i="27" s="1"/>
  <c r="S30" i="31" l="1"/>
  <c r="AW25" i="31" l="1"/>
  <c r="AN96" i="27"/>
  <c r="AN109" i="27"/>
  <c r="BB35" i="29" l="1"/>
  <c r="W35" i="29" s="1"/>
  <c r="AN525" i="27"/>
  <c r="AW16" i="31"/>
  <c r="S27" i="31"/>
  <c r="S25" i="31" s="1"/>
  <c r="S16" i="31" l="1"/>
  <c r="AN150" i="27"/>
  <c r="AN149" i="27" s="1"/>
  <c r="AN170" i="27" l="1"/>
  <c r="AN87" i="27" l="1"/>
  <c r="AN178" i="27" s="1"/>
  <c r="AN469" i="27" s="1"/>
  <c r="AU18" i="38" l="1"/>
  <c r="S18" i="38" s="1"/>
  <c r="AN99" i="27"/>
  <c r="BB12" i="29" s="1"/>
  <c r="AN106" i="27"/>
  <c r="AN130" i="27" l="1"/>
  <c r="AN570" i="27" s="1"/>
  <c r="AN538" i="27"/>
  <c r="W12" i="29"/>
  <c r="AN536" i="27"/>
  <c r="AN539" i="27"/>
  <c r="AN141" i="27"/>
  <c r="AN526" i="27"/>
  <c r="AN527" i="27"/>
  <c r="BB41" i="29"/>
  <c r="W41" i="29" s="1"/>
  <c r="AN535" i="27"/>
  <c r="AN176" i="27" l="1"/>
  <c r="AN70" i="27"/>
  <c r="AR537" i="27" s="1"/>
  <c r="AQ537" i="27" l="1"/>
  <c r="S44" i="31"/>
  <c r="S51" i="31" s="1"/>
  <c r="AX14" i="31" s="1"/>
  <c r="AN46" i="27"/>
  <c r="AQ14" i="31" l="1"/>
  <c r="AP537" i="27"/>
  <c r="AO537" i="27"/>
  <c r="AN497" i="27"/>
  <c r="S33" i="31"/>
  <c r="AX6" i="31" s="1"/>
  <c r="AN537" i="27"/>
  <c r="AQ6" i="31" l="1"/>
  <c r="AI6" i="31"/>
  <c r="AW6" i="31"/>
  <c r="T14" i="31"/>
  <c r="AI14" i="31"/>
  <c r="S6" i="31"/>
  <c r="T6" i="31"/>
  <c r="S53" i="31"/>
  <c r="AW14" i="31"/>
  <c r="S14" i="31"/>
  <c r="AN143" i="27" l="1"/>
  <c r="J4" i="67" s="1"/>
  <c r="J12" i="67" s="1"/>
  <c r="AN175" i="27" l="1"/>
  <c r="J5" i="67" s="1"/>
  <c r="J16" i="67" s="1"/>
  <c r="AN56" i="27" l="1"/>
  <c r="AN58" i="27" s="1"/>
  <c r="J7" i="67" s="1"/>
  <c r="AN59" i="27" l="1"/>
  <c r="J8" i="67" s="1"/>
  <c r="AR544" i="27"/>
  <c r="AR549" i="27"/>
  <c r="AQ544" i="27"/>
  <c r="AN564" i="27"/>
  <c r="AN560" i="27"/>
  <c r="AN544" i="27"/>
  <c r="AN549" i="27"/>
  <c r="J14" i="67" l="1"/>
  <c r="J13" i="67"/>
  <c r="AR545" i="27"/>
  <c r="N18" i="67" s="1"/>
  <c r="AR550" i="27"/>
  <c r="AN545" i="27"/>
  <c r="AQ545" i="27"/>
  <c r="AN550" i="27"/>
  <c r="M18" i="67" l="1"/>
  <c r="J18" i="67"/>
  <c r="AO310" i="27"/>
  <c r="AO529" i="27" l="1"/>
  <c r="AO35" i="27"/>
  <c r="AO499" i="27" s="1"/>
  <c r="AO530" i="27"/>
  <c r="X26" i="29"/>
  <c r="AO436" i="27"/>
  <c r="X44" i="29"/>
  <c r="AO495" i="27"/>
  <c r="AO331" i="27"/>
  <c r="AO61" i="27"/>
  <c r="AO556" i="27"/>
  <c r="AO496" i="27"/>
  <c r="AO493" i="27" l="1"/>
  <c r="T28" i="32" l="1"/>
  <c r="T57" i="30"/>
  <c r="X25" i="29" l="1"/>
  <c r="T29" i="32"/>
  <c r="T58" i="30"/>
  <c r="T27" i="32" l="1"/>
  <c r="T33" i="32" s="1"/>
  <c r="T36" i="32" s="1"/>
  <c r="T56" i="30"/>
  <c r="T62" i="30" s="1"/>
  <c r="T64" i="30" s="1"/>
  <c r="AO312" i="27"/>
  <c r="AO198" i="27"/>
  <c r="T6" i="32" l="1"/>
  <c r="T19" i="30"/>
  <c r="T20" i="30"/>
  <c r="T53" i="38"/>
  <c r="AO555" i="27"/>
  <c r="AO217" i="27"/>
  <c r="AO199" i="27"/>
  <c r="X30" i="29"/>
  <c r="AO220" i="27" l="1"/>
  <c r="AO502" i="27"/>
  <c r="AO554" i="27"/>
  <c r="AO504" i="27"/>
  <c r="AO540" i="27"/>
  <c r="AO63" i="27" l="1"/>
  <c r="X18" i="29" s="1"/>
  <c r="X31" i="29" s="1"/>
  <c r="AO559" i="27"/>
  <c r="AO221" i="27"/>
  <c r="T42" i="38" l="1"/>
  <c r="AO303" i="27" l="1"/>
  <c r="T16" i="38" l="1"/>
  <c r="AO314" i="27" l="1"/>
  <c r="AO315" i="27" l="1"/>
  <c r="AO308" i="27"/>
  <c r="Q44" i="32" l="1"/>
  <c r="Q11" i="32" s="1"/>
  <c r="Q46" i="32"/>
  <c r="Q13" i="32" s="1"/>
  <c r="Q47" i="32"/>
  <c r="Q14" i="32" s="1"/>
  <c r="P11" i="32" l="1"/>
  <c r="P45" i="32"/>
  <c r="P14" i="32"/>
  <c r="P13" i="32"/>
  <c r="Q45" i="32"/>
  <c r="Q12" i="32" s="1"/>
  <c r="P12" i="32"/>
  <c r="P42" i="32"/>
  <c r="Q43" i="32"/>
  <c r="Q10" i="32" s="1"/>
  <c r="P10" i="32"/>
  <c r="Q42" i="32" l="1"/>
  <c r="Q9" i="32" s="1"/>
  <c r="P41" i="32"/>
  <c r="P9" i="32"/>
  <c r="Q41" i="32" l="1"/>
  <c r="Q8" i="32" s="1"/>
  <c r="P8" i="32"/>
  <c r="T24" i="29" l="1"/>
  <c r="AK219" i="27" l="1"/>
  <c r="AK522" i="27"/>
  <c r="P75" i="30"/>
  <c r="AK207" i="27"/>
  <c r="T29" i="29" l="1"/>
  <c r="AK217" i="27"/>
  <c r="AK210" i="27"/>
  <c r="P78" i="30" s="1"/>
  <c r="P28" i="30" s="1"/>
  <c r="P27" i="30"/>
  <c r="P74" i="30"/>
  <c r="AK504" i="27" l="1"/>
  <c r="AK503" i="27"/>
  <c r="AK220" i="27"/>
  <c r="AK63" i="27" s="1"/>
  <c r="U9" i="29"/>
  <c r="AL9" i="29"/>
  <c r="T9" i="29"/>
  <c r="AT9" i="29"/>
  <c r="T18" i="29" l="1"/>
  <c r="P42" i="38"/>
  <c r="AL533" i="27"/>
  <c r="AK533" i="27"/>
  <c r="AM533" i="27"/>
  <c r="AK221" i="27"/>
  <c r="AK559" i="27"/>
  <c r="Q6" i="38" l="1"/>
  <c r="P6" i="38"/>
  <c r="AN6" i="38"/>
  <c r="AG6" i="38"/>
  <c r="T31" i="29"/>
  <c r="U6" i="29"/>
  <c r="AT6" i="29"/>
  <c r="AL6" i="29"/>
  <c r="T6" i="29"/>
  <c r="P40" i="32"/>
  <c r="P6" i="32" s="1"/>
  <c r="AK540" i="27" l="1"/>
  <c r="AO87" i="27" l="1"/>
  <c r="AO178" i="27" s="1"/>
  <c r="AO469" i="27" s="1"/>
  <c r="AO99" i="27" l="1"/>
  <c r="AO538" i="27" s="1"/>
  <c r="T18" i="38"/>
  <c r="AO130" i="27" l="1"/>
  <c r="AO535" i="27" s="1"/>
  <c r="AO106" i="27"/>
  <c r="AO527" i="27" l="1"/>
  <c r="AO526" i="27"/>
  <c r="AO536" i="27"/>
  <c r="AO141" i="27"/>
  <c r="AO431" i="27" s="1"/>
  <c r="AO539" i="27"/>
  <c r="AO176" i="27" l="1"/>
  <c r="AO143" i="27"/>
  <c r="K4" i="67" s="1"/>
  <c r="K12" i="67" s="1"/>
  <c r="AO175" i="27" l="1"/>
  <c r="K5" i="67" s="1"/>
  <c r="K16" i="67" s="1"/>
  <c r="AO544" i="27"/>
  <c r="AO174" i="27"/>
  <c r="AO545" i="27"/>
  <c r="K18" i="67" l="1"/>
  <c r="AO550" i="27"/>
  <c r="AO549" i="27"/>
  <c r="S71" i="30" l="1"/>
  <c r="S25" i="30" s="1"/>
  <c r="AN516" i="27" l="1"/>
  <c r="AN213" i="27"/>
  <c r="W24" i="29" l="1"/>
  <c r="W29" i="29" s="1"/>
  <c r="AN522" i="27"/>
  <c r="AN207" i="27"/>
  <c r="AN217" i="27" s="1"/>
  <c r="S75" i="30"/>
  <c r="S27" i="30" l="1"/>
  <c r="S74" i="30"/>
  <c r="X9" i="29"/>
  <c r="W9" i="29"/>
  <c r="BB9" i="29"/>
  <c r="S72" i="30" l="1"/>
  <c r="S26" i="30" s="1"/>
  <c r="AN517" i="27" l="1"/>
  <c r="AN214" i="27"/>
  <c r="AN519" i="27"/>
  <c r="S69" i="30" l="1"/>
  <c r="S23" i="30" s="1"/>
  <c r="AN514" i="27" l="1"/>
  <c r="AN215" i="27"/>
  <c r="AN498" i="27" l="1"/>
  <c r="S70" i="30" l="1"/>
  <c r="S24" i="30" s="1"/>
  <c r="AN515" i="27" l="1"/>
  <c r="AN216" i="27"/>
  <c r="AN518" i="27"/>
  <c r="AN202" i="27"/>
  <c r="AN513" i="27" l="1"/>
  <c r="S68" i="30"/>
  <c r="S22" i="30" s="1"/>
  <c r="AN210" i="27"/>
  <c r="S78" i="30" s="1"/>
  <c r="S28" i="30" s="1"/>
  <c r="AN212" i="27"/>
  <c r="W23" i="29" l="1"/>
  <c r="AN219" i="27"/>
  <c r="AN220" i="27"/>
  <c r="AN504" i="27"/>
  <c r="AN503" i="27"/>
  <c r="AN559" i="27" l="1"/>
  <c r="AN221" i="27"/>
  <c r="W28" i="29"/>
  <c r="X8" i="29" l="1"/>
  <c r="BB8" i="29"/>
  <c r="W8" i="29"/>
  <c r="AW51" i="32" l="1"/>
  <c r="S48" i="32"/>
  <c r="S51" i="32" s="1"/>
  <c r="AW40" i="32"/>
  <c r="AW6" i="32" s="1"/>
  <c r="AN540" i="27"/>
  <c r="S40" i="32" l="1"/>
  <c r="S6" i="32" s="1"/>
  <c r="U18" i="30" l="1"/>
  <c r="U46" i="30"/>
  <c r="AN425" i="27" l="1"/>
  <c r="AN461" i="27" l="1"/>
  <c r="AN464" i="27" s="1"/>
  <c r="AN371" i="27"/>
  <c r="BB37" i="29" l="1"/>
  <c r="W37" i="29" s="1"/>
  <c r="AN427" i="27"/>
  <c r="AN431" i="27" s="1"/>
  <c r="AN524" i="27"/>
  <c r="AN314" i="27" l="1"/>
  <c r="W26" i="29" l="1"/>
  <c r="AN63" i="27"/>
  <c r="W18" i="29" s="1"/>
  <c r="AN530" i="27"/>
  <c r="AN529" i="27"/>
  <c r="AN35" i="27"/>
  <c r="W31" i="29" l="1"/>
  <c r="AN315" i="27"/>
  <c r="W44" i="29"/>
  <c r="AN493" i="27"/>
  <c r="AN534" i="27"/>
  <c r="AN556" i="27"/>
  <c r="AN543" i="27"/>
  <c r="AN548" i="27"/>
  <c r="AN496" i="27"/>
  <c r="AN569" i="27"/>
  <c r="AN495" i="27"/>
  <c r="AN61" i="27"/>
  <c r="AO569" i="27"/>
  <c r="AO534" i="27"/>
  <c r="AO543" i="27"/>
  <c r="AO548" i="27"/>
  <c r="AN499" i="27"/>
  <c r="S42" i="38"/>
  <c r="AN533" i="27"/>
  <c r="AO533" i="27"/>
  <c r="W30" i="29"/>
  <c r="AN308" i="27"/>
  <c r="AU6" i="38" l="1"/>
  <c r="S6" i="38"/>
  <c r="T6" i="38"/>
  <c r="W33" i="29"/>
  <c r="BB33" i="29"/>
  <c r="X33" i="29"/>
  <c r="BB6" i="29"/>
  <c r="W6" i="29"/>
  <c r="X6" i="29"/>
  <c r="BB10" i="29"/>
  <c r="W10" i="29"/>
  <c r="X10" i="29"/>
  <c r="AP516" i="27" l="1"/>
  <c r="U71" i="30"/>
  <c r="U25" i="30" s="1"/>
  <c r="AP213" i="27"/>
  <c r="Y24" i="29" l="1"/>
  <c r="U75" i="30"/>
  <c r="AP207" i="27"/>
  <c r="AP522" i="27"/>
  <c r="U27" i="30" l="1"/>
  <c r="U74" i="30"/>
  <c r="U72" i="30" l="1"/>
  <c r="U26" i="30" s="1"/>
  <c r="AP214" i="27"/>
  <c r="AP517" i="27"/>
  <c r="AP519" i="27"/>
  <c r="AP514" i="27" l="1"/>
  <c r="AP215" i="27"/>
  <c r="U69" i="30"/>
  <c r="U23" i="30" s="1"/>
  <c r="AP498" i="27" l="1"/>
  <c r="U70" i="30" l="1"/>
  <c r="U24" i="30" s="1"/>
  <c r="AP216" i="27"/>
  <c r="AP515" i="27"/>
  <c r="AP518" i="27"/>
  <c r="AP202" i="27"/>
  <c r="U68" i="30" l="1"/>
  <c r="U22" i="30" s="1"/>
  <c r="AP212" i="27"/>
  <c r="AP210" i="27"/>
  <c r="U78" i="30" s="1"/>
  <c r="U28" i="30" s="1"/>
  <c r="AP513" i="27"/>
  <c r="Y23" i="29" l="1"/>
  <c r="Y28" i="29" s="1"/>
  <c r="AP503" i="27"/>
  <c r="AP219" i="27"/>
  <c r="W46" i="29" l="1"/>
  <c r="W47" i="29" l="1"/>
  <c r="W45" i="29" l="1"/>
  <c r="AN436" i="27"/>
  <c r="AN441" i="27"/>
  <c r="AN331" i="27" l="1"/>
  <c r="AN324" i="27" l="1"/>
  <c r="AN320" i="27"/>
  <c r="AN325" i="27" s="1"/>
  <c r="Y25" i="29" l="1"/>
  <c r="U58" i="30"/>
  <c r="U29" i="32"/>
  <c r="AI29" i="32" s="1"/>
  <c r="U56" i="30"/>
  <c r="AP198" i="27"/>
  <c r="U27" i="32"/>
  <c r="AP312" i="27"/>
  <c r="U57" i="30"/>
  <c r="U28" i="32"/>
  <c r="AI28" i="32" s="1"/>
  <c r="AI27" i="32" l="1"/>
  <c r="U33" i="32"/>
  <c r="AP217" i="27"/>
  <c r="U53" i="38"/>
  <c r="AP199" i="27"/>
  <c r="AP555" i="27"/>
  <c r="U62" i="30"/>
  <c r="U64" i="30" s="1"/>
  <c r="AV16" i="38" l="1"/>
  <c r="AR540" i="27"/>
  <c r="AO16" i="38"/>
  <c r="U19" i="30"/>
  <c r="U20" i="30"/>
  <c r="U36" i="32"/>
  <c r="AI33" i="32"/>
  <c r="AP554" i="27"/>
  <c r="AP220" i="27"/>
  <c r="AP504" i="27"/>
  <c r="AX6" i="32" l="1"/>
  <c r="AI36" i="32"/>
  <c r="AP559" i="27"/>
  <c r="AP221" i="27"/>
  <c r="V29" i="38" l="1"/>
  <c r="V16" i="38" s="1"/>
  <c r="AP303" i="27" l="1"/>
  <c r="AH16" i="38"/>
  <c r="U29" i="38"/>
  <c r="U16" i="38" s="1"/>
  <c r="AP310" i="27" l="1"/>
  <c r="AP448" i="27" l="1"/>
  <c r="AP449" i="27" l="1"/>
  <c r="Y22" i="29" l="1"/>
  <c r="Y29" i="29" s="1"/>
  <c r="AP444" i="27" l="1"/>
  <c r="AP452" i="27" s="1"/>
  <c r="AP457" i="27" l="1"/>
  <c r="AM15" i="29" s="1"/>
  <c r="AP447" i="27"/>
  <c r="Z15" i="29" l="1"/>
  <c r="Y15" i="29"/>
  <c r="Y9" i="29" s="1"/>
  <c r="AM9" i="29"/>
  <c r="AP462" i="27" l="1"/>
  <c r="AM38" i="29" l="1"/>
  <c r="Y38" i="29" l="1"/>
  <c r="Z38" i="29"/>
  <c r="AP101" i="27" l="1"/>
  <c r="Y46" i="29" l="1"/>
  <c r="Y45" i="29" l="1"/>
  <c r="AP443" i="27" l="1"/>
  <c r="AP451" i="27" l="1"/>
  <c r="AP456" i="27" l="1"/>
  <c r="AM14" i="29" s="1"/>
  <c r="Y14" i="29" l="1"/>
  <c r="Y8" i="29" s="1"/>
  <c r="Z14" i="29"/>
  <c r="AP445" i="27"/>
  <c r="AP453" i="27" s="1"/>
  <c r="AM8" i="29"/>
  <c r="AP458" i="27" l="1"/>
  <c r="AP459" i="27" l="1"/>
  <c r="AM16" i="29"/>
  <c r="Z16" i="29" s="1"/>
  <c r="Z12" i="29" s="1"/>
  <c r="Y16" i="29" l="1"/>
  <c r="Y12" i="29" s="1"/>
  <c r="Y41" i="29" s="1"/>
  <c r="AP463" i="27" l="1"/>
  <c r="AM39" i="29" l="1"/>
  <c r="Y39" i="29" l="1"/>
  <c r="Z39" i="29"/>
  <c r="AP461" i="27" l="1"/>
  <c r="AP464" i="27" s="1"/>
  <c r="AP371" i="27"/>
  <c r="AM37" i="29" l="1"/>
  <c r="AP524" i="27"/>
  <c r="Y37" i="29" l="1"/>
  <c r="Z37" i="29"/>
  <c r="AP441" i="27" l="1"/>
  <c r="Y47" i="29" l="1"/>
  <c r="AP102" i="27" l="1"/>
  <c r="Y26" i="29" l="1"/>
  <c r="Y30" i="29" s="1"/>
  <c r="BC10" i="29" s="1"/>
  <c r="AP63" i="27"/>
  <c r="AP314" i="27"/>
  <c r="U42" i="38"/>
  <c r="AP35" i="27"/>
  <c r="AP530" i="27"/>
  <c r="AP529" i="27"/>
  <c r="AQ569" i="27" l="1"/>
  <c r="AP315" i="27"/>
  <c r="AQ534" i="27"/>
  <c r="AQ543" i="27"/>
  <c r="AU10" i="29"/>
  <c r="Z10" i="29"/>
  <c r="Y18" i="29"/>
  <c r="AP331" i="27"/>
  <c r="AP436" i="27"/>
  <c r="AP495" i="27"/>
  <c r="AP496" i="27"/>
  <c r="AP61" i="27"/>
  <c r="Y44" i="29"/>
  <c r="AP493" i="27"/>
  <c r="AP556" i="27"/>
  <c r="AP569" i="27"/>
  <c r="AP499" i="27"/>
  <c r="AP308" i="27"/>
  <c r="AU33" i="29" l="1"/>
  <c r="Y31" i="29"/>
  <c r="Y33" i="29"/>
  <c r="Y6" i="29"/>
  <c r="AM10" i="29"/>
  <c r="Y10" i="29"/>
  <c r="AP540" i="27" l="1"/>
  <c r="AI51" i="32"/>
  <c r="U48" i="32"/>
  <c r="U51" i="32" s="1"/>
  <c r="U40" i="32" l="1"/>
  <c r="U6" i="32" s="1"/>
  <c r="AI6" i="32"/>
  <c r="AP103" i="27" l="1"/>
  <c r="AP425" i="27"/>
  <c r="AP427" i="27" l="1"/>
  <c r="AP87" i="27" l="1"/>
  <c r="AP178" i="27" s="1"/>
  <c r="AP469" i="27" s="1"/>
  <c r="AH18" i="38"/>
  <c r="V18" i="38" s="1"/>
  <c r="AP99" i="27"/>
  <c r="AP538" i="27" s="1"/>
  <c r="AP533" i="27" l="1"/>
  <c r="AM12" i="29"/>
  <c r="AP106" i="27"/>
  <c r="AP130" i="27"/>
  <c r="AP534" i="27"/>
  <c r="AH6" i="38"/>
  <c r="U18" i="38"/>
  <c r="U6" i="38" s="1"/>
  <c r="AP535" i="27" l="1"/>
  <c r="AP536" i="27"/>
  <c r="AP539" i="27"/>
  <c r="AP527" i="27"/>
  <c r="AP141" i="27"/>
  <c r="AP431" i="27" s="1"/>
  <c r="AP526" i="27"/>
  <c r="AM6" i="29"/>
  <c r="AM41" i="29"/>
  <c r="AP176" i="27" l="1"/>
  <c r="AM33" i="29"/>
  <c r="Z41" i="29"/>
  <c r="Z33" i="29" s="1"/>
  <c r="AP143" i="27"/>
  <c r="L4" i="67" s="1"/>
  <c r="L12" i="67" s="1"/>
  <c r="AP175" i="27" l="1"/>
  <c r="L5" i="67" s="1"/>
  <c r="L16" i="67" s="1"/>
  <c r="AP544" i="27"/>
  <c r="AP545" i="27"/>
  <c r="AP543" i="27"/>
  <c r="L18" i="67" l="1"/>
  <c r="AP549" i="27"/>
  <c r="AP548" i="27"/>
  <c r="AP550" i="27"/>
  <c r="AK75" i="27" l="1"/>
  <c r="AK314" i="27"/>
  <c r="AK315" i="27" s="1"/>
  <c r="V71" i="30" l="1"/>
  <c r="V25" i="30" s="1"/>
  <c r="AQ516" i="27"/>
  <c r="AQ213" i="27"/>
  <c r="Z24" i="29" l="1"/>
  <c r="Z29" i="29" s="1"/>
  <c r="V75" i="30"/>
  <c r="AQ522" i="27"/>
  <c r="AQ207" i="27"/>
  <c r="Z9" i="29" l="1"/>
  <c r="AU9" i="29"/>
  <c r="AQ217" i="27"/>
  <c r="V27" i="30"/>
  <c r="V74" i="30"/>
  <c r="V72" i="30" l="1"/>
  <c r="V26" i="30" s="1"/>
  <c r="AQ517" i="27"/>
  <c r="AQ214" i="27"/>
  <c r="AQ519" i="27"/>
  <c r="V69" i="30" l="1"/>
  <c r="V23" i="30" s="1"/>
  <c r="AQ514" i="27"/>
  <c r="AQ215" i="27"/>
  <c r="AQ499" i="27" l="1"/>
  <c r="AQ498" i="27"/>
  <c r="AQ75" i="27" l="1"/>
  <c r="AQ314" i="27"/>
  <c r="AQ315" i="27" l="1"/>
  <c r="V70" i="30" l="1"/>
  <c r="V24" i="30" s="1"/>
  <c r="AQ515" i="27"/>
  <c r="AQ216" i="27"/>
  <c r="AQ518" i="27"/>
  <c r="AQ202" i="27"/>
  <c r="V68" i="30" l="1"/>
  <c r="V22" i="30" s="1"/>
  <c r="AQ513" i="27"/>
  <c r="AQ212" i="27"/>
  <c r="AQ210" i="27"/>
  <c r="Z23" i="29" l="1"/>
  <c r="Z28" i="29" s="1"/>
  <c r="AA8" i="29" s="1"/>
  <c r="AQ219" i="27"/>
  <c r="V78" i="30"/>
  <c r="V28" i="30" s="1"/>
  <c r="AQ503" i="27"/>
  <c r="AQ504" i="27"/>
  <c r="AQ220" i="27"/>
  <c r="AQ63" i="27" s="1"/>
  <c r="Z8" i="29" l="1"/>
  <c r="AU8" i="29"/>
  <c r="BC8" i="29"/>
  <c r="V42" i="38"/>
  <c r="Z18" i="29"/>
  <c r="AQ533" i="27"/>
  <c r="AQ221" i="27"/>
  <c r="AQ559" i="27"/>
  <c r="AO31" i="38" l="1"/>
  <c r="Z31" i="29"/>
  <c r="AU6" i="29"/>
  <c r="Z6" i="29"/>
  <c r="AO6" i="38"/>
  <c r="V6" i="38"/>
  <c r="AQ40" i="32" l="1"/>
  <c r="AQ540" i="27"/>
  <c r="AQ51" i="32"/>
  <c r="V51" i="32" s="1"/>
  <c r="W51" i="32" s="1"/>
  <c r="V48" i="32"/>
  <c r="W48" i="32" s="1"/>
  <c r="AQ6" i="32" l="1"/>
  <c r="V40" i="32"/>
  <c r="W40" i="32" s="1"/>
  <c r="V6" i="32" l="1"/>
  <c r="W6" i="32"/>
  <c r="X71" i="30" l="1"/>
  <c r="X25" i="30" s="1"/>
  <c r="AS516" i="27"/>
  <c r="AS213" i="27"/>
  <c r="X75" i="30" l="1"/>
  <c r="AS522" i="27"/>
  <c r="AB24" i="29"/>
  <c r="AB29" i="29" s="1"/>
  <c r="AS207" i="27"/>
  <c r="AS217" i="27" s="1"/>
  <c r="X27" i="30" l="1"/>
  <c r="X74" i="30"/>
  <c r="AS517" i="27" l="1"/>
  <c r="AS214" i="27"/>
  <c r="X72" i="30"/>
  <c r="X26" i="30" s="1"/>
  <c r="AS519" i="27"/>
  <c r="X69" i="30" l="1"/>
  <c r="X23" i="30" s="1"/>
  <c r="AS514" i="27"/>
  <c r="AS215" i="27"/>
  <c r="AS499" i="27" l="1"/>
  <c r="AS498" i="27"/>
  <c r="X70" i="30" l="1"/>
  <c r="X24" i="30" s="1"/>
  <c r="AS515" i="27"/>
  <c r="AS216" i="27"/>
  <c r="AS518" i="27"/>
  <c r="AS202" i="27"/>
  <c r="AS513" i="27" l="1"/>
  <c r="AS210" i="27"/>
  <c r="AS212" i="27"/>
  <c r="X68" i="30"/>
  <c r="X22" i="30" s="1"/>
  <c r="AS220" i="27" l="1"/>
  <c r="X78" i="30"/>
  <c r="X28" i="30" s="1"/>
  <c r="AS504" i="27"/>
  <c r="AS503" i="27"/>
  <c r="AB23" i="29"/>
  <c r="AB28" i="29" s="1"/>
  <c r="AS219" i="27"/>
  <c r="AB8" i="29" l="1"/>
  <c r="AS559" i="27"/>
  <c r="AS221" i="27"/>
  <c r="AS63" i="27"/>
  <c r="AB18" i="29" l="1"/>
  <c r="X42" i="38"/>
  <c r="AB31" i="29" l="1"/>
  <c r="AT430" i="27"/>
  <c r="AT371" i="27" l="1"/>
  <c r="AT427" i="27" l="1"/>
  <c r="AT149" i="27"/>
  <c r="Y71" i="30" l="1"/>
  <c r="AT516" i="27"/>
  <c r="AT213" i="27"/>
  <c r="Y25" i="30" l="1"/>
  <c r="Y75" i="30" l="1"/>
  <c r="AT207" i="27"/>
  <c r="AT217" i="27" s="1"/>
  <c r="AT522" i="27"/>
  <c r="AC24" i="29"/>
  <c r="AC29" i="29" s="1"/>
  <c r="AC9" i="29" l="1"/>
  <c r="Y74" i="30"/>
  <c r="Y27" i="30"/>
  <c r="Y72" i="30" l="1"/>
  <c r="AT517" i="27"/>
  <c r="AT214" i="27"/>
  <c r="AT519" i="27"/>
  <c r="Y26" i="30" l="1"/>
  <c r="Y69" i="30" l="1"/>
  <c r="Y23" i="30" s="1"/>
  <c r="AT514" i="27"/>
  <c r="AT215" i="27"/>
  <c r="AT498" i="27" l="1"/>
  <c r="AT499" i="27"/>
  <c r="Y70" i="30" l="1"/>
  <c r="Y24" i="30" s="1"/>
  <c r="AT515" i="27"/>
  <c r="AT216" i="27"/>
  <c r="AT518" i="27"/>
  <c r="AT202" i="27"/>
  <c r="Y68" i="30" l="1"/>
  <c r="Y22" i="30" s="1"/>
  <c r="AT210" i="27"/>
  <c r="AT513" i="27"/>
  <c r="AT212" i="27"/>
  <c r="AT219" i="27" l="1"/>
  <c r="AC23" i="29"/>
  <c r="AC28" i="29" s="1"/>
  <c r="Y78" i="30"/>
  <c r="Y28" i="30" s="1"/>
  <c r="AT503" i="27"/>
  <c r="AT220" i="27"/>
  <c r="AT559" i="27" s="1"/>
  <c r="AT504" i="27"/>
  <c r="AN8" i="29" l="1"/>
  <c r="AC8" i="29"/>
  <c r="AT63" i="27"/>
  <c r="AT221" i="27"/>
  <c r="Y42" i="38" l="1"/>
  <c r="AC18" i="29"/>
  <c r="Y31" i="38" l="1"/>
  <c r="AC31" i="29"/>
  <c r="AC6" i="29"/>
  <c r="Y6" i="38"/>
  <c r="AT159" i="27" l="1"/>
  <c r="AT160" i="27" l="1"/>
  <c r="AT130" i="27"/>
  <c r="AT570" i="27" s="1"/>
  <c r="AT535" i="27" l="1"/>
  <c r="AT141" i="27"/>
  <c r="AT431" i="27" s="1"/>
  <c r="AT536" i="27"/>
  <c r="AT526" i="27"/>
  <c r="AT539" i="27"/>
  <c r="AT158" i="27" l="1"/>
  <c r="AT143" i="27"/>
  <c r="P4" i="67" s="1"/>
  <c r="P12" i="67" s="1"/>
  <c r="AT170" i="27" l="1"/>
  <c r="AT176" i="27" s="1"/>
  <c r="AT544" i="27"/>
  <c r="AT545" i="27"/>
  <c r="P18" i="67" s="1"/>
  <c r="AT527" i="27"/>
  <c r="AT175" i="27"/>
  <c r="P5" i="67" l="1"/>
  <c r="P16" i="67" s="1"/>
  <c r="AT550" i="27"/>
  <c r="AT549" i="27"/>
  <c r="Z48" i="32" l="1"/>
  <c r="Z40" i="32" s="1"/>
  <c r="AJ51" i="32"/>
  <c r="Y48" i="32"/>
  <c r="Y40" i="32" s="1"/>
  <c r="Y51" i="32" l="1"/>
  <c r="Z51" i="32"/>
  <c r="AJ6" i="32"/>
  <c r="Y6" i="32" l="1"/>
  <c r="AQ158" i="27" l="1"/>
  <c r="AQ170" i="27" s="1"/>
  <c r="AQ527" i="27" l="1"/>
  <c r="AQ176" i="27"/>
  <c r="AQ175" i="27" l="1"/>
  <c r="M5" i="67" l="1"/>
  <c r="M16" i="67" s="1"/>
  <c r="AQ550" i="27"/>
  <c r="AQ548" i="27"/>
  <c r="AQ549" i="27"/>
  <c r="Z71" i="30" l="1"/>
  <c r="Z25" i="30" s="1"/>
  <c r="AU516" i="27"/>
  <c r="Z72" i="30" l="1"/>
  <c r="Z26" i="30" s="1"/>
  <c r="AU517" i="27"/>
  <c r="AU519" i="27"/>
  <c r="Z46" i="30" l="1"/>
  <c r="AU159" i="27" l="1"/>
  <c r="AU522" i="27" l="1"/>
  <c r="Z75" i="30"/>
  <c r="Z27" i="30" l="1"/>
  <c r="AU515" i="27" l="1"/>
  <c r="Z70" i="30"/>
  <c r="Z24" i="30" s="1"/>
  <c r="Z69" i="30" l="1"/>
  <c r="Z23" i="30" s="1"/>
  <c r="AU518" i="27"/>
  <c r="AU202" i="27"/>
  <c r="AU514" i="27"/>
  <c r="Z68" i="30" l="1"/>
  <c r="Z22" i="30" s="1"/>
  <c r="AU513" i="27"/>
  <c r="Z59" i="30" l="1"/>
  <c r="Z30" i="32"/>
  <c r="AR30" i="32" l="1"/>
  <c r="Z35" i="31"/>
  <c r="Z45" i="31" l="1"/>
  <c r="AU448" i="27" l="1"/>
  <c r="AU444" i="27" l="1"/>
  <c r="AU452" i="27" s="1"/>
  <c r="AU457" i="27" s="1"/>
  <c r="AV15" i="29" s="1"/>
  <c r="AD15" i="29" l="1"/>
  <c r="AU102" i="27" l="1"/>
  <c r="AU443" i="27" l="1"/>
  <c r="AP39" i="38" l="1"/>
  <c r="Z39" i="38" s="1"/>
  <c r="AU462" i="27"/>
  <c r="AV38" i="29" s="1"/>
  <c r="AU467" i="27"/>
  <c r="AD38" i="29" l="1"/>
  <c r="AU449" i="27"/>
  <c r="AP40" i="38" l="1"/>
  <c r="Z40" i="38" s="1"/>
  <c r="AU447" i="27"/>
  <c r="AU451" i="27" s="1"/>
  <c r="AU463" i="27" l="1"/>
  <c r="AV39" i="29" s="1"/>
  <c r="AD39" i="29" l="1"/>
  <c r="AU429" i="27" l="1"/>
  <c r="AU101" i="27" l="1"/>
  <c r="AU468" i="27" l="1"/>
  <c r="AD46" i="29" l="1"/>
  <c r="AU445" i="27" l="1"/>
  <c r="AU453" i="27" s="1"/>
  <c r="AP38" i="38" l="1"/>
  <c r="AU461" i="27"/>
  <c r="AV37" i="29" s="1"/>
  <c r="AU466" i="27"/>
  <c r="AU371" i="27"/>
  <c r="AP36" i="38" l="1"/>
  <c r="Z36" i="38" s="1"/>
  <c r="Z38" i="38"/>
  <c r="AD37" i="29"/>
  <c r="AD45" i="29" l="1"/>
  <c r="AU103" i="27" l="1"/>
  <c r="AD47" i="29" l="1"/>
  <c r="AU430" i="27" l="1"/>
  <c r="AU458" i="27" l="1"/>
  <c r="AV16" i="29" s="1"/>
  <c r="AU428" i="27"/>
  <c r="AU456" i="27" l="1"/>
  <c r="AU425" i="27"/>
  <c r="AD16" i="29"/>
  <c r="AU427" i="27" l="1"/>
  <c r="AU459" i="27"/>
  <c r="AV14" i="29"/>
  <c r="AD14" i="29" l="1"/>
  <c r="AD12" i="29" l="1"/>
  <c r="AU163" i="27" l="1"/>
  <c r="Z24" i="31" l="1"/>
  <c r="AP25" i="38"/>
  <c r="Z22" i="38"/>
  <c r="Z23" i="38"/>
  <c r="Z25" i="38" l="1"/>
  <c r="Z20" i="38"/>
  <c r="Z19" i="31"/>
  <c r="Z31" i="31"/>
  <c r="AR18" i="31"/>
  <c r="Z28" i="38" l="1"/>
  <c r="Z29" i="38"/>
  <c r="Z23" i="31"/>
  <c r="Z22" i="31"/>
  <c r="AR21" i="31"/>
  <c r="Z29" i="31"/>
  <c r="Z20" i="31"/>
  <c r="Z26" i="31"/>
  <c r="Z21" i="31" l="1"/>
  <c r="Z18" i="31"/>
  <c r="AU153" i="27"/>
  <c r="Z38" i="31" l="1"/>
  <c r="AR9" i="31" l="1"/>
  <c r="Z9" i="31"/>
  <c r="AU160" i="27" l="1"/>
  <c r="AU158" i="27" l="1"/>
  <c r="Z27" i="31" l="1"/>
  <c r="Z43" i="31" l="1"/>
  <c r="Z41" i="31" l="1"/>
  <c r="AU249" i="27"/>
  <c r="AU508" i="27"/>
  <c r="Z52" i="30"/>
  <c r="Z45" i="38"/>
  <c r="Z20" i="32"/>
  <c r="AU216" i="27"/>
  <c r="Z21" i="32"/>
  <c r="Z53" i="30"/>
  <c r="AU512" i="27"/>
  <c r="AU509" i="27"/>
  <c r="Z46" i="38"/>
  <c r="AU189" i="27"/>
  <c r="AU213" i="27"/>
  <c r="Z47" i="38"/>
  <c r="Z22" i="32"/>
  <c r="Z54" i="30"/>
  <c r="AU510" i="27"/>
  <c r="AU214" i="27"/>
  <c r="Z42" i="31"/>
  <c r="AR21" i="32" l="1"/>
  <c r="Z24" i="32"/>
  <c r="Z13" i="32"/>
  <c r="AR13" i="32"/>
  <c r="Z16" i="30"/>
  <c r="Z11" i="30"/>
  <c r="AR22" i="32"/>
  <c r="Z14" i="32"/>
  <c r="AR14" i="32"/>
  <c r="AR20" i="32"/>
  <c r="Z11" i="32"/>
  <c r="AR11" i="32"/>
  <c r="AR13" i="31"/>
  <c r="Z13" i="31"/>
  <c r="AP14" i="38"/>
  <c r="Z14" i="38"/>
  <c r="Z14" i="30"/>
  <c r="Z9" i="30"/>
  <c r="Z49" i="38"/>
  <c r="AP13" i="38"/>
  <c r="Z13" i="38"/>
  <c r="AU243" i="27"/>
  <c r="Z50" i="31"/>
  <c r="AR12" i="31"/>
  <c r="Z12" i="31"/>
  <c r="Z60" i="30"/>
  <c r="Z31" i="32"/>
  <c r="Z15" i="30"/>
  <c r="Z10" i="30"/>
  <c r="AD24" i="29"/>
  <c r="AU521" i="27" l="1"/>
  <c r="Z61" i="30"/>
  <c r="Z18" i="30" s="1"/>
  <c r="Z32" i="32"/>
  <c r="AR32" i="32" s="1"/>
  <c r="Z52" i="38"/>
  <c r="AP12" i="38"/>
  <c r="Z12" i="38"/>
  <c r="AR31" i="32"/>
  <c r="Z33" i="32"/>
  <c r="AR33" i="32" s="1"/>
  <c r="Z34" i="32"/>
  <c r="Z17" i="30"/>
  <c r="AU188" i="27"/>
  <c r="AU511" i="27"/>
  <c r="Z51" i="30"/>
  <c r="Z44" i="38"/>
  <c r="AU190" i="27"/>
  <c r="Z19" i="32"/>
  <c r="AU507" i="27"/>
  <c r="AU215" i="27"/>
  <c r="AR11" i="31"/>
  <c r="Z11" i="31"/>
  <c r="AR24" i="32"/>
  <c r="Z12" i="32"/>
  <c r="AR12" i="32"/>
  <c r="AU198" i="27"/>
  <c r="Z40" i="31"/>
  <c r="Z44" i="31"/>
  <c r="AP34" i="38" l="1"/>
  <c r="Z34" i="38"/>
  <c r="Z62" i="30"/>
  <c r="AR34" i="32"/>
  <c r="Z15" i="32"/>
  <c r="AR15" i="32"/>
  <c r="Z53" i="38"/>
  <c r="AU555" i="27"/>
  <c r="Z23" i="32"/>
  <c r="Z25" i="32"/>
  <c r="AR19" i="32"/>
  <c r="Z10" i="32"/>
  <c r="AR10" i="32"/>
  <c r="Z39" i="31"/>
  <c r="AU248" i="27"/>
  <c r="AU238" i="27"/>
  <c r="Z48" i="38"/>
  <c r="Z50" i="38"/>
  <c r="AP10" i="38"/>
  <c r="Z10" i="38"/>
  <c r="Z13" i="30"/>
  <c r="Z8" i="30"/>
  <c r="Z50" i="30"/>
  <c r="AU200" i="27"/>
  <c r="AU506" i="27"/>
  <c r="AU199" i="27"/>
  <c r="AU212" i="27"/>
  <c r="AP15" i="38"/>
  <c r="Z15" i="38"/>
  <c r="AU554" i="27" l="1"/>
  <c r="AU502" i="27"/>
  <c r="AU540" i="27"/>
  <c r="Z64" i="30"/>
  <c r="Z12" i="30"/>
  <c r="Z7" i="30"/>
  <c r="AU245" i="27"/>
  <c r="Z37" i="31"/>
  <c r="Z49" i="31" s="1"/>
  <c r="AP16" i="38"/>
  <c r="Z16" i="38"/>
  <c r="AR10" i="31"/>
  <c r="Z10" i="31"/>
  <c r="AU72" i="27"/>
  <c r="AD26" i="29"/>
  <c r="AU308" i="27"/>
  <c r="AR25" i="32"/>
  <c r="Z9" i="32"/>
  <c r="AR9" i="32"/>
  <c r="AU219" i="27"/>
  <c r="AD23" i="29"/>
  <c r="AD28" i="29" s="1"/>
  <c r="AR23" i="32"/>
  <c r="Z36" i="32"/>
  <c r="Z8" i="32"/>
  <c r="AR8" i="32"/>
  <c r="AR36" i="32" l="1"/>
  <c r="AR6" i="32"/>
  <c r="Z6" i="32"/>
  <c r="AU529" i="27"/>
  <c r="AU530" i="27"/>
  <c r="Z19" i="30"/>
  <c r="Z20" i="30"/>
  <c r="AV8" i="29"/>
  <c r="AD8" i="29"/>
  <c r="AR8" i="31"/>
  <c r="Z8" i="31"/>
  <c r="AU563" i="27"/>
  <c r="AU246" i="27"/>
  <c r="Z6" i="30"/>
  <c r="Z21" i="38" l="1"/>
  <c r="Z11" i="38" s="1"/>
  <c r="AP11" i="38"/>
  <c r="AP24" i="38"/>
  <c r="AP33" i="38" s="1"/>
  <c r="AP26" i="38"/>
  <c r="Z26" i="38" l="1"/>
  <c r="Z9" i="38" s="1"/>
  <c r="AP9" i="38"/>
  <c r="Z24" i="38"/>
  <c r="AP8" i="38"/>
  <c r="Z8" i="38" l="1"/>
  <c r="Z33" i="38"/>
  <c r="AU135" i="27" l="1"/>
  <c r="AU568" i="27" l="1"/>
  <c r="AU471" i="27"/>
  <c r="AU524" i="27"/>
  <c r="AU152" i="27" l="1"/>
  <c r="AU87" i="27" l="1"/>
  <c r="AP18" i="38" l="1"/>
  <c r="Z18" i="38" l="1"/>
  <c r="AD20" i="29" l="1"/>
  <c r="AD22" i="29" s="1"/>
  <c r="AD29" i="29" s="1"/>
  <c r="AU74" i="27"/>
  <c r="AD9" i="29" l="1"/>
  <c r="AU494" i="27" l="1"/>
  <c r="Z76" i="30"/>
  <c r="Z74" i="30" s="1"/>
  <c r="AD25" i="29"/>
  <c r="AD30" i="29" s="1"/>
  <c r="AU312" i="27"/>
  <c r="AU314" i="27" s="1"/>
  <c r="AU207" i="27"/>
  <c r="AU217" i="27" l="1"/>
  <c r="AU210" i="27"/>
  <c r="AV10" i="29"/>
  <c r="AD10" i="29"/>
  <c r="Z78" i="30" l="1"/>
  <c r="Z28" i="30" s="1"/>
  <c r="AU504" i="27"/>
  <c r="AU503" i="27"/>
  <c r="AU220" i="27"/>
  <c r="AU221" i="27" l="1"/>
  <c r="AU559" i="27"/>
  <c r="AU63" i="27"/>
  <c r="AD18" i="29" l="1"/>
  <c r="AD6" i="29" s="1"/>
  <c r="Z42" i="38"/>
  <c r="Z31" i="38" l="1"/>
  <c r="Z6" i="38"/>
  <c r="AD31" i="29"/>
  <c r="AU96" i="27" l="1"/>
  <c r="AR16" i="31" l="1"/>
  <c r="AU99" i="27"/>
  <c r="Z30" i="31"/>
  <c r="Z25" i="31" s="1"/>
  <c r="AR25" i="31"/>
  <c r="AU106" i="27" l="1"/>
  <c r="AV12" i="29"/>
  <c r="Z16" i="31"/>
  <c r="Z46" i="31" l="1"/>
  <c r="Z51" i="31" s="1"/>
  <c r="AU70" i="27"/>
  <c r="Z33" i="31" l="1"/>
  <c r="AU537" i="27"/>
  <c r="Z53" i="31"/>
  <c r="AR14" i="31"/>
  <c r="Z14" i="31"/>
  <c r="AU150" i="27" l="1"/>
  <c r="AU149" i="27" s="1"/>
  <c r="AR6" i="31"/>
  <c r="Z6" i="31"/>
  <c r="AU156" i="27" l="1"/>
  <c r="AU155" i="27" s="1"/>
  <c r="AU477" i="27" l="1"/>
  <c r="AU109" i="27" l="1"/>
  <c r="AU178" i="27"/>
  <c r="AU469" i="27" s="1"/>
  <c r="AU538" i="27" l="1"/>
  <c r="AU464" i="27"/>
  <c r="AU130" i="27"/>
  <c r="AU570" i="27" s="1"/>
  <c r="AU525" i="27"/>
  <c r="AV35" i="29"/>
  <c r="AD35" i="29" s="1"/>
  <c r="AU539" i="27"/>
  <c r="AU535" i="27"/>
  <c r="AU536" i="27"/>
  <c r="AV41" i="29"/>
  <c r="AD41" i="29" l="1"/>
  <c r="AU46" i="27" l="1"/>
  <c r="AU441" i="27" l="1"/>
  <c r="AU497" i="27"/>
  <c r="AU141" i="27"/>
  <c r="AU431" i="27" s="1"/>
  <c r="AU527" i="27"/>
  <c r="AU526" i="27"/>
  <c r="AU176" i="27" l="1"/>
  <c r="AU143" i="27" l="1"/>
  <c r="Q4" i="67" s="1"/>
  <c r="Q12" i="67" s="1"/>
  <c r="AU175" i="27" l="1"/>
  <c r="Q5" i="67" s="1"/>
  <c r="Q16" i="67" s="1"/>
  <c r="AU35" i="27" l="1"/>
  <c r="AD44" i="29" l="1"/>
  <c r="AU331" i="27"/>
  <c r="AU556" i="27"/>
  <c r="AU436" i="27"/>
  <c r="AU499" i="27"/>
  <c r="AU496" i="27"/>
  <c r="AU493" i="27"/>
  <c r="AU315" i="27"/>
  <c r="AU56" i="27"/>
  <c r="AU58" i="27" s="1"/>
  <c r="AU59" i="27" l="1"/>
  <c r="Q7" i="67"/>
  <c r="AU560" i="27"/>
  <c r="AU564" i="27"/>
  <c r="AU61" i="27"/>
  <c r="AU495" i="27"/>
  <c r="AU498" i="27"/>
  <c r="AU544" i="27"/>
  <c r="AU549" i="27"/>
  <c r="AD33" i="29"/>
  <c r="Q8" i="67" l="1"/>
  <c r="AU545" i="27"/>
  <c r="Q18" i="67" s="1"/>
  <c r="AU550" i="27"/>
  <c r="Q13" i="67" l="1"/>
  <c r="Q14" i="67"/>
  <c r="AA46" i="30"/>
  <c r="AA46" i="29" l="1"/>
  <c r="AA45" i="29" l="1"/>
  <c r="AA47" i="29" l="1"/>
  <c r="AR207" i="27" l="1"/>
  <c r="W75" i="30"/>
  <c r="AA24" i="29"/>
  <c r="AA29" i="29" s="1"/>
  <c r="AR522" i="27"/>
  <c r="AR219" i="27"/>
  <c r="AV9" i="29" l="1"/>
  <c r="BC9" i="29"/>
  <c r="AA9" i="29"/>
  <c r="AN9" i="29"/>
  <c r="AB9" i="29"/>
  <c r="W27" i="30"/>
  <c r="W74" i="30"/>
  <c r="AR217" i="27"/>
  <c r="AR210" i="27"/>
  <c r="AR220" i="27" l="1"/>
  <c r="AR503" i="27"/>
  <c r="W78" i="30"/>
  <c r="W28" i="30" s="1"/>
  <c r="AR504" i="27"/>
  <c r="AR63" i="27" l="1"/>
  <c r="AR559" i="27"/>
  <c r="AA18" i="29" l="1"/>
  <c r="AR533" i="27"/>
  <c r="AT533" i="27"/>
  <c r="AS533" i="27"/>
  <c r="AU533" i="27"/>
  <c r="W42" i="38"/>
  <c r="AI6" i="38" l="1"/>
  <c r="AI31" i="38"/>
  <c r="X31" i="38"/>
  <c r="AV31" i="38"/>
  <c r="X6" i="38"/>
  <c r="AP31" i="38"/>
  <c r="AP6" i="38"/>
  <c r="AV6" i="38"/>
  <c r="W6" i="38"/>
  <c r="BC6" i="29"/>
  <c r="AA6" i="29"/>
  <c r="AA31" i="29"/>
  <c r="AB6" i="29"/>
  <c r="AN6" i="29"/>
  <c r="AV6" i="29"/>
  <c r="AA71" i="30" l="1"/>
  <c r="AV516" i="27"/>
  <c r="AA25" i="30" l="1"/>
  <c r="AV522" i="27" l="1"/>
  <c r="AA75" i="30"/>
  <c r="AA27" i="30" s="1"/>
  <c r="AA72" i="30" l="1"/>
  <c r="AV517" i="27"/>
  <c r="AV519" i="27"/>
  <c r="AA26" i="30" l="1"/>
  <c r="AA69" i="30" l="1"/>
  <c r="AA23" i="30" s="1"/>
  <c r="AV514" i="27"/>
  <c r="AA70" i="30" l="1"/>
  <c r="AA24" i="30" s="1"/>
  <c r="AV515" i="27"/>
  <c r="AV202" i="27"/>
  <c r="AV518" i="27"/>
  <c r="AA68" i="30" l="1"/>
  <c r="AA22" i="30" s="1"/>
  <c r="AV513" i="27"/>
  <c r="AR494" i="27" l="1"/>
  <c r="AR35" i="27"/>
  <c r="AR221" i="27"/>
  <c r="AS569" i="27" l="1"/>
  <c r="AS534" i="27"/>
  <c r="AR569" i="27"/>
  <c r="AU534" i="27"/>
  <c r="AR331" i="27"/>
  <c r="AR495" i="27"/>
  <c r="AR499" i="27"/>
  <c r="AS543" i="27"/>
  <c r="AR556" i="27"/>
  <c r="AR496" i="27"/>
  <c r="AA44" i="29"/>
  <c r="AR315" i="27"/>
  <c r="AU548" i="27"/>
  <c r="AU543" i="27"/>
  <c r="AR436" i="27"/>
  <c r="AR548" i="27"/>
  <c r="AT548" i="27"/>
  <c r="AR543" i="27"/>
  <c r="AT543" i="27"/>
  <c r="AT569" i="27"/>
  <c r="AR493" i="27"/>
  <c r="AU569" i="27"/>
  <c r="AR534" i="27"/>
  <c r="AS548" i="27"/>
  <c r="AT534" i="27"/>
  <c r="AB33" i="29" l="1"/>
  <c r="AN33" i="29"/>
  <c r="BC33" i="29"/>
  <c r="AV33" i="29"/>
  <c r="AA33" i="29"/>
  <c r="AR46" i="27" l="1"/>
  <c r="AR497" i="27" l="1"/>
  <c r="AR61" i="27"/>
  <c r="AR441" i="27"/>
  <c r="AV448" i="27" l="1"/>
  <c r="AV449" i="27" l="1"/>
  <c r="AV444" i="27" l="1"/>
  <c r="AV452" i="27" s="1"/>
  <c r="AV447" i="27" l="1"/>
  <c r="AV102" i="27"/>
  <c r="AV443" i="27" l="1"/>
  <c r="AV451" i="27" s="1"/>
  <c r="AE46" i="29" l="1"/>
  <c r="AV101" i="27" l="1"/>
  <c r="AW39" i="38" l="1"/>
  <c r="AA39" i="38" s="1"/>
  <c r="AV462" i="27"/>
  <c r="BD38" i="29" s="1"/>
  <c r="AE38" i="29" s="1"/>
  <c r="AV467" i="27"/>
  <c r="AW40" i="38" l="1"/>
  <c r="AA40" i="38" l="1"/>
  <c r="AV445" i="27" l="1"/>
  <c r="AV453" i="27" s="1"/>
  <c r="AV468" i="27"/>
  <c r="AW38" i="38" l="1"/>
  <c r="AA38" i="38" s="1"/>
  <c r="AV461" i="27"/>
  <c r="BD37" i="29" s="1"/>
  <c r="AE37" i="29" s="1"/>
  <c r="AV466" i="27"/>
  <c r="AV463" i="27" l="1"/>
  <c r="BD39" i="29" s="1"/>
  <c r="AE39" i="29" s="1"/>
  <c r="AW36" i="38"/>
  <c r="AA36" i="38" s="1"/>
  <c r="AE45" i="29" l="1"/>
  <c r="AV103" i="27" l="1"/>
  <c r="AE47" i="29" l="1"/>
  <c r="AV429" i="27" l="1"/>
  <c r="AV457" i="27" l="1"/>
  <c r="BD15" i="29" s="1"/>
  <c r="AV371" i="27"/>
  <c r="AV430" i="27"/>
  <c r="AV428" i="27"/>
  <c r="AV458" i="27" l="1"/>
  <c r="BD16" i="29" s="1"/>
  <c r="AV425" i="27"/>
  <c r="AV456" i="27"/>
  <c r="AE15" i="29"/>
  <c r="AV427" i="27" l="1"/>
  <c r="BD14" i="29"/>
  <c r="AV459" i="27"/>
  <c r="AE16" i="29"/>
  <c r="AE14" i="29" l="1"/>
  <c r="AE12" i="29" l="1"/>
  <c r="AA35" i="31" l="1"/>
  <c r="AA30" i="32" l="1"/>
  <c r="AA59" i="30"/>
  <c r="AY30" i="32" l="1"/>
  <c r="AA24" i="31" l="1"/>
  <c r="AA31" i="31" l="1"/>
  <c r="AA19" i="31" l="1"/>
  <c r="AY18" i="31"/>
  <c r="AA20" i="31" l="1"/>
  <c r="AA29" i="31"/>
  <c r="AA22" i="31"/>
  <c r="AA18" i="31" l="1"/>
  <c r="AV153" i="27"/>
  <c r="AA26" i="31" l="1"/>
  <c r="AA38" i="31" l="1"/>
  <c r="AB9" i="31" l="1"/>
  <c r="AK9" i="31"/>
  <c r="AY9" i="31"/>
  <c r="AA9" i="31"/>
  <c r="AV160" i="27" l="1"/>
  <c r="AA42" i="31" l="1"/>
  <c r="AB13" i="31" l="1"/>
  <c r="AK13" i="31"/>
  <c r="AA41" i="31"/>
  <c r="AV243" i="27"/>
  <c r="AV249" i="27"/>
  <c r="AB12" i="31" l="1"/>
  <c r="AK12" i="31"/>
  <c r="AA40" i="31"/>
  <c r="AA50" i="31"/>
  <c r="AY12" i="31"/>
  <c r="AA12" i="31"/>
  <c r="AB11" i="31" l="1"/>
  <c r="AK11" i="31"/>
  <c r="AA39" i="31"/>
  <c r="AV248" i="27"/>
  <c r="AV238" i="27"/>
  <c r="AA45" i="31"/>
  <c r="AA44" i="31"/>
  <c r="AB10" i="31" l="1"/>
  <c r="AK10" i="31"/>
  <c r="AV72" i="27"/>
  <c r="AE26" i="29"/>
  <c r="AV308" i="27"/>
  <c r="AA37" i="31"/>
  <c r="AA49" i="31" s="1"/>
  <c r="AV245" i="27"/>
  <c r="AY10" i="31"/>
  <c r="AA10" i="31"/>
  <c r="AA23" i="31"/>
  <c r="AY13" i="31"/>
  <c r="AY21" i="31"/>
  <c r="AY11" i="31" s="1"/>
  <c r="AB8" i="31" l="1"/>
  <c r="AK8" i="31"/>
  <c r="AA13" i="31"/>
  <c r="AA21" i="31"/>
  <c r="AA11" i="31" s="1"/>
  <c r="AV246" i="27"/>
  <c r="AY8" i="31"/>
  <c r="AA8" i="31"/>
  <c r="AV563" i="27"/>
  <c r="AA76" i="30" l="1"/>
  <c r="AA74" i="30" s="1"/>
  <c r="AE25" i="29"/>
  <c r="AE30" i="29" s="1"/>
  <c r="AO10" i="29" s="1"/>
  <c r="AV312" i="27"/>
  <c r="AV314" i="27" s="1"/>
  <c r="AV207" i="27"/>
  <c r="AV210" i="27" s="1"/>
  <c r="AV529" i="27"/>
  <c r="AV530" i="27"/>
  <c r="AE20" i="29"/>
  <c r="AE22" i="29" s="1"/>
  <c r="AV74" i="27"/>
  <c r="AF10" i="29" l="1"/>
  <c r="AV503" i="27"/>
  <c r="AA78" i="30"/>
  <c r="AA28" i="30" s="1"/>
  <c r="AA48" i="32"/>
  <c r="AY51" i="32"/>
  <c r="AA51" i="32" s="1"/>
  <c r="BD10" i="29"/>
  <c r="AE10" i="29"/>
  <c r="AA27" i="31" l="1"/>
  <c r="AV96" i="27" l="1"/>
  <c r="AY16" i="31" l="1"/>
  <c r="AA30" i="31"/>
  <c r="AA25" i="31" s="1"/>
  <c r="AY25" i="31"/>
  <c r="AA16" i="31" l="1"/>
  <c r="AA46" i="31" l="1"/>
  <c r="AA51" i="31" s="1"/>
  <c r="AV70" i="27"/>
  <c r="AB14" i="31" l="1"/>
  <c r="AK14" i="31"/>
  <c r="AW537" i="27"/>
  <c r="AX537" i="27"/>
  <c r="AA33" i="31"/>
  <c r="AV537" i="27"/>
  <c r="AY14" i="31"/>
  <c r="AA14" i="31"/>
  <c r="AB6" i="31" l="1"/>
  <c r="AK6" i="31"/>
  <c r="AA53" i="31"/>
  <c r="AM6" i="31"/>
  <c r="AY6" i="31"/>
  <c r="AA6" i="31"/>
  <c r="AV152" i="27" l="1"/>
  <c r="AA28" i="38" l="1"/>
  <c r="AA29" i="38"/>
  <c r="AV510" i="27" l="1"/>
  <c r="AA54" i="30"/>
  <c r="AV214" i="27"/>
  <c r="AA22" i="32"/>
  <c r="AA47" i="38"/>
  <c r="AB14" i="38" l="1"/>
  <c r="AJ14" i="38"/>
  <c r="AB14" i="32"/>
  <c r="AK14" i="32"/>
  <c r="AY22" i="32"/>
  <c r="AY14" i="32"/>
  <c r="AA14" i="32"/>
  <c r="AA16" i="30"/>
  <c r="AA11" i="30"/>
  <c r="AV189" i="27" l="1"/>
  <c r="AA21" i="32"/>
  <c r="AA53" i="30"/>
  <c r="AV509" i="27"/>
  <c r="AA46" i="38"/>
  <c r="AJ13" i="38" s="1"/>
  <c r="AV213" i="27"/>
  <c r="AV512" i="27"/>
  <c r="AB13" i="32" l="1"/>
  <c r="AK13" i="32"/>
  <c r="AA49" i="38"/>
  <c r="AB13" i="38"/>
  <c r="AA15" i="30"/>
  <c r="AA10" i="30"/>
  <c r="AA52" i="30"/>
  <c r="AV216" i="27"/>
  <c r="AA45" i="38"/>
  <c r="AA20" i="32"/>
  <c r="AV508" i="27"/>
  <c r="AY13" i="32"/>
  <c r="AY21" i="32"/>
  <c r="AA13" i="32"/>
  <c r="AA24" i="32"/>
  <c r="AA31" i="32"/>
  <c r="AA60" i="30"/>
  <c r="AB12" i="32" l="1"/>
  <c r="AK12" i="32"/>
  <c r="AB11" i="32"/>
  <c r="AK11" i="32"/>
  <c r="AB12" i="38"/>
  <c r="AJ12" i="38"/>
  <c r="AB11" i="38"/>
  <c r="AJ11" i="38"/>
  <c r="AA14" i="30"/>
  <c r="AA9" i="30"/>
  <c r="AY11" i="32"/>
  <c r="AY20" i="32"/>
  <c r="AA11" i="32"/>
  <c r="AY31" i="32"/>
  <c r="AY24" i="32"/>
  <c r="AA12" i="32"/>
  <c r="AY12" i="32"/>
  <c r="AA32" i="32" l="1"/>
  <c r="AA61" i="30"/>
  <c r="AV521" i="27"/>
  <c r="AA52" i="38"/>
  <c r="AV198" i="27"/>
  <c r="AV217" i="27" s="1"/>
  <c r="AE24" i="29"/>
  <c r="AE29" i="29" s="1"/>
  <c r="AO9" i="29" s="1"/>
  <c r="AW14" i="38"/>
  <c r="AA23" i="38"/>
  <c r="AA14" i="38" s="1"/>
  <c r="AF9" i="29" l="1"/>
  <c r="AJ15" i="38"/>
  <c r="AJ34" i="38"/>
  <c r="AA34" i="38"/>
  <c r="AB15" i="38"/>
  <c r="AB34" i="38"/>
  <c r="AA53" i="38"/>
  <c r="AV555" i="27"/>
  <c r="AA17" i="30"/>
  <c r="AA18" i="30"/>
  <c r="AA62" i="30"/>
  <c r="AW15" i="38"/>
  <c r="AW34" i="38"/>
  <c r="AA15" i="38"/>
  <c r="AY32" i="32"/>
  <c r="AA33" i="32"/>
  <c r="AY33" i="32" s="1"/>
  <c r="AA34" i="32"/>
  <c r="AK15" i="32" s="1"/>
  <c r="BD9" i="29"/>
  <c r="AE9" i="29"/>
  <c r="AB16" i="38" l="1"/>
  <c r="AJ16" i="38"/>
  <c r="AB15" i="32"/>
  <c r="AY34" i="32"/>
  <c r="AA15" i="32"/>
  <c r="AY15" i="32"/>
  <c r="AW16" i="38"/>
  <c r="AA16" i="38"/>
  <c r="AW25" i="38" l="1"/>
  <c r="AW13" i="38"/>
  <c r="AA22" i="38"/>
  <c r="AA13" i="38" s="1"/>
  <c r="AV190" i="27"/>
  <c r="AA44" i="38"/>
  <c r="AV188" i="27"/>
  <c r="AA51" i="30"/>
  <c r="AA19" i="32"/>
  <c r="AV511" i="27"/>
  <c r="AV507" i="27"/>
  <c r="AV215" i="27"/>
  <c r="AB10" i="32" l="1"/>
  <c r="AK10" i="32"/>
  <c r="AB10" i="38"/>
  <c r="AJ10" i="38"/>
  <c r="AA48" i="38"/>
  <c r="AA50" i="38"/>
  <c r="AA50" i="30"/>
  <c r="AA13" i="30"/>
  <c r="AA8" i="30"/>
  <c r="AV199" i="27"/>
  <c r="AV212" i="27"/>
  <c r="AV506" i="27"/>
  <c r="AV200" i="27"/>
  <c r="AY10" i="32"/>
  <c r="AA25" i="32"/>
  <c r="AY19" i="32"/>
  <c r="AA10" i="32"/>
  <c r="AA23" i="32"/>
  <c r="AW12" i="38"/>
  <c r="AA25" i="38"/>
  <c r="AA12" i="38" s="1"/>
  <c r="AK8" i="32" l="1"/>
  <c r="AB9" i="32"/>
  <c r="AK9" i="32"/>
  <c r="AB9" i="38"/>
  <c r="AJ9" i="38"/>
  <c r="AJ8" i="38"/>
  <c r="AJ33" i="38"/>
  <c r="AW540" i="27"/>
  <c r="AX540" i="27"/>
  <c r="AV494" i="27"/>
  <c r="AB8" i="32"/>
  <c r="AB8" i="38"/>
  <c r="AB33" i="38"/>
  <c r="AY23" i="32"/>
  <c r="AA36" i="32"/>
  <c r="AK6" i="32" s="1"/>
  <c r="AY8" i="32"/>
  <c r="AA8" i="32"/>
  <c r="AV219" i="27"/>
  <c r="AE23" i="29"/>
  <c r="AE28" i="29" s="1"/>
  <c r="AO8" i="29" s="1"/>
  <c r="AA9" i="32"/>
  <c r="AY25" i="32"/>
  <c r="AY9" i="32"/>
  <c r="AA12" i="30"/>
  <c r="AA7" i="30"/>
  <c r="AA64" i="30"/>
  <c r="AW10" i="38"/>
  <c r="AA20" i="38"/>
  <c r="AA10" i="38" s="1"/>
  <c r="AV554" i="27"/>
  <c r="AV540" i="27"/>
  <c r="AV502" i="27"/>
  <c r="AV220" i="27"/>
  <c r="AV504" i="27"/>
  <c r="AF8" i="29" l="1"/>
  <c r="AB6" i="32"/>
  <c r="AA6" i="30"/>
  <c r="BD8" i="29"/>
  <c r="AE8" i="29"/>
  <c r="AA20" i="30"/>
  <c r="AA19" i="30"/>
  <c r="AY6" i="32"/>
  <c r="AY36" i="32"/>
  <c r="AA6" i="32"/>
  <c r="AV221" i="27"/>
  <c r="AV559" i="27"/>
  <c r="AV63" i="27"/>
  <c r="AW533" i="27" l="1"/>
  <c r="AX533" i="27"/>
  <c r="AE18" i="29"/>
  <c r="AO6" i="29" s="1"/>
  <c r="AA42" i="38"/>
  <c r="AJ31" i="38" s="1"/>
  <c r="AJ6" i="38" l="1"/>
  <c r="AF6" i="29"/>
  <c r="AB31" i="38"/>
  <c r="AB6" i="38"/>
  <c r="AE31" i="29"/>
  <c r="AE6" i="29"/>
  <c r="AV156" i="27" l="1"/>
  <c r="AV155" i="27" s="1"/>
  <c r="AV150" i="27" l="1"/>
  <c r="AV149" i="27" s="1"/>
  <c r="AV163" i="27" l="1"/>
  <c r="AV158" i="27" l="1"/>
  <c r="AW11" i="38" l="1"/>
  <c r="AA21" i="38"/>
  <c r="AA11" i="38" s="1"/>
  <c r="AW26" i="38"/>
  <c r="AW24" i="38"/>
  <c r="AW33" i="38" s="1"/>
  <c r="AV87" i="27"/>
  <c r="AW8" i="38" l="1"/>
  <c r="AA24" i="38"/>
  <c r="AW9" i="38"/>
  <c r="AA26" i="38"/>
  <c r="AA9" i="38" s="1"/>
  <c r="AV99" i="27"/>
  <c r="AW18" i="38"/>
  <c r="AA8" i="38" l="1"/>
  <c r="AA33" i="38"/>
  <c r="AW31" i="38"/>
  <c r="AA18" i="38"/>
  <c r="AW6" i="38"/>
  <c r="BD12" i="29"/>
  <c r="AV106" i="27"/>
  <c r="AV533" i="27"/>
  <c r="AA6" i="38" l="1"/>
  <c r="AA31" i="38"/>
  <c r="BD6" i="29"/>
  <c r="AV477" i="27" l="1"/>
  <c r="AV178" i="27"/>
  <c r="AV109" i="27"/>
  <c r="AV464" i="27" s="1"/>
  <c r="AV469" i="27" l="1"/>
  <c r="AV130" i="27"/>
  <c r="BD35" i="29"/>
  <c r="AV536" i="27" l="1"/>
  <c r="AV570" i="27"/>
  <c r="AE35" i="29"/>
  <c r="BD41" i="29"/>
  <c r="AV539" i="27"/>
  <c r="AV535" i="27"/>
  <c r="BD33" i="29" l="1"/>
  <c r="AE41" i="29"/>
  <c r="AV526" i="27" l="1"/>
  <c r="AV527" i="27"/>
  <c r="AV46" i="27" l="1"/>
  <c r="AV135" i="27"/>
  <c r="AV568" i="27" s="1"/>
  <c r="AV538" i="27" l="1"/>
  <c r="AV524" i="27"/>
  <c r="AV525" i="27"/>
  <c r="AV141" i="27"/>
  <c r="AV431" i="27" s="1"/>
  <c r="AV441" i="27"/>
  <c r="AV497" i="27"/>
  <c r="AV176" i="27" l="1"/>
  <c r="AV143" i="27" l="1"/>
  <c r="R4" i="67" s="1"/>
  <c r="AV35" i="27"/>
  <c r="AX534" i="27" s="1"/>
  <c r="AX569" i="27" l="1"/>
  <c r="AW569" i="27"/>
  <c r="V4" i="67"/>
  <c r="R12" i="67"/>
  <c r="V12" i="67" s="1"/>
  <c r="AX543" i="27"/>
  <c r="AX548" i="27"/>
  <c r="AW543" i="27"/>
  <c r="AW534" i="27"/>
  <c r="AW548" i="27"/>
  <c r="AV556" i="27"/>
  <c r="AV493" i="27"/>
  <c r="AV436" i="27"/>
  <c r="AV331" i="27"/>
  <c r="AE44" i="29"/>
  <c r="AO33" i="29" s="1"/>
  <c r="AV496" i="27"/>
  <c r="AV315" i="27"/>
  <c r="AV499" i="27"/>
  <c r="AV534" i="27"/>
  <c r="AV569" i="27"/>
  <c r="AV175" i="27"/>
  <c r="AV543" i="27"/>
  <c r="AV56" i="27"/>
  <c r="AV58" i="27" s="1"/>
  <c r="R7" i="67" s="1"/>
  <c r="V7" i="67" s="1"/>
  <c r="R5" i="67" l="1"/>
  <c r="V5" i="67" s="1"/>
  <c r="AX544" i="27"/>
  <c r="AX549" i="27"/>
  <c r="AV59" i="27"/>
  <c r="AX545" i="27" s="1"/>
  <c r="AE33" i="29"/>
  <c r="AF33" i="29"/>
  <c r="AW544" i="27"/>
  <c r="AW549" i="27"/>
  <c r="AV548" i="27"/>
  <c r="AV549" i="27"/>
  <c r="AV544" i="27"/>
  <c r="AV564" i="27"/>
  <c r="AV61" i="27"/>
  <c r="AV495" i="27"/>
  <c r="AV560" i="27"/>
  <c r="AV498" i="27"/>
  <c r="R16" i="67" l="1"/>
  <c r="V16" i="67" s="1"/>
  <c r="R8" i="67"/>
  <c r="V8" i="67"/>
  <c r="R13" i="67"/>
  <c r="V13" i="67" s="1"/>
  <c r="R14" i="67"/>
  <c r="V14" i="67" s="1"/>
  <c r="T18" i="67"/>
  <c r="AX550" i="27"/>
  <c r="AW545" i="27"/>
  <c r="S18" i="67" s="1"/>
  <c r="AW550" i="27"/>
  <c r="AV550" i="27"/>
  <c r="AV545" i="27"/>
  <c r="R18" i="67" s="1"/>
  <c r="V18" i="67" s="1"/>
</calcChain>
</file>

<file path=xl/comments1.xml><?xml version="1.0" encoding="utf-8"?>
<comments xmlns="http://schemas.openxmlformats.org/spreadsheetml/2006/main">
  <authors>
    <author>Голицына Дарья Дмитриевна</author>
    <author>Patratskiy, Alexander [ICG-BCMA]</author>
    <author>Saygakov, Nikita [ICG-BCMA]</author>
    <author>Udalova, Nadezhda [ICG-BCMA]</author>
  </authors>
  <commentList>
    <comment ref="AR2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пересмотрен резерв в 2024 г.</t>
        </r>
      </text>
    </comment>
    <comment ref="AN3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A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Assets from hedge accounting</t>
        </r>
      </text>
    </comment>
    <comment ref="AB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C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D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E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F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G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H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I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N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5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T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U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V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S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T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U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V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C8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Added since 1H 2018 IFRS</t>
        </r>
      </text>
    </comment>
    <comment ref="AH1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Orient Express</t>
        </r>
      </text>
    </comment>
    <comment ref="AK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F12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-108 доходы от почтоматов</t>
        </r>
      </text>
    </comment>
    <comment ref="AL12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Убыток от первоначального признания кредитов, выданных по нерыночным ставкам</t>
        </r>
      </text>
    </comment>
    <comment ref="AM12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Убыток от первоначального признания кредитов, выданных по нерыночным ставкам</t>
        </r>
      </text>
    </comment>
    <comment ref="AF13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+108 доходы от почтоматов</t>
        </r>
      </text>
    </comment>
    <comment ref="AK13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3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3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3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165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Хоум Банк</t>
        </r>
      </text>
    </comment>
    <comment ref="AT165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Хоум Банк</t>
        </r>
      </text>
    </comment>
    <comment ref="AU165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Хоум Банк</t>
        </r>
      </text>
    </comment>
    <comment ref="AV165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Хоум Банк</t>
        </r>
      </text>
    </comment>
    <comment ref="AU16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Эффект от изменения ставки налога на прибыль с 1 января 2025г.</t>
        </r>
      </text>
    </comment>
    <comment ref="AV16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Эффект от изменения ставки налога на прибыль с 1 января 2025г.</t>
        </r>
      </text>
    </comment>
    <comment ref="N17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R17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X17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J17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N17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S17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T17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U17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V17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S17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T17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U17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V17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U183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22/38
Note 15</t>
        </r>
      </text>
    </comment>
    <comment ref="V183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183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U18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22/38
Note 15</t>
        </r>
      </text>
    </comment>
    <comment ref="V18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18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U18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22/38
Note 15</t>
        </r>
      </text>
    </comment>
    <comment ref="V18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18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U18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22/38
Note 15</t>
        </r>
      </text>
    </comment>
    <comment ref="V18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18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U192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22/38
Note 15</t>
        </r>
      </text>
    </comment>
    <comment ref="V192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192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U193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22/38
Note 15</t>
        </r>
      </text>
    </comment>
    <comment ref="V193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193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U19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22/38
Note 15</t>
        </r>
      </text>
    </comment>
    <comment ref="V19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19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AH19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OFZ bonds, Russian Eurobonds, Russian subfederal&amp;municipal bonds</t>
        </r>
      </text>
    </comment>
    <comment ref="U19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22/38
Note 15</t>
        </r>
      </text>
    </comment>
    <comment ref="V19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19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U19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22/38
Note 15</t>
        </r>
      </text>
    </comment>
    <comment ref="V19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19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AP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Q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R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S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T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U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V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W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X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U19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22/38
Note 15</t>
        </r>
      </text>
    </comment>
    <comment ref="V19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19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V198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198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U202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24/38
Note 15</t>
        </r>
      </text>
    </comment>
    <comment ref="W202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26/50
Note 16</t>
        </r>
      </text>
    </comment>
    <comment ref="V203" authorId="2" shapeId="0">
      <text>
        <r>
          <rPr>
            <b/>
            <sz val="9"/>
            <color indexed="81"/>
            <rFont val="Tahoma"/>
            <family val="2"/>
          </rPr>
          <t>Saygakov, Nikita [ICG-BCMA]:</t>
        </r>
        <r>
          <rPr>
            <sz val="9"/>
            <color indexed="81"/>
            <rFont val="Tahoma"/>
            <family val="2"/>
          </rPr>
          <t xml:space="preserve">
1H 2018 IFRS p. 23/42
Note 15</t>
        </r>
      </text>
    </comment>
    <comment ref="V204" authorId="2" shapeId="0">
      <text>
        <r>
          <rPr>
            <b/>
            <sz val="9"/>
            <color indexed="81"/>
            <rFont val="Tahoma"/>
            <family val="2"/>
          </rPr>
          <t>Saygakov, Nikita [ICG-BCMA]:</t>
        </r>
        <r>
          <rPr>
            <sz val="9"/>
            <color indexed="81"/>
            <rFont val="Tahoma"/>
            <family val="2"/>
          </rPr>
          <t xml:space="preserve">
1H 2018 IFRS p. 23/42
Note 15</t>
        </r>
      </text>
    </comment>
    <comment ref="V205" authorId="3" shapeId="0">
      <text>
        <r>
          <rPr>
            <b/>
            <sz val="9"/>
            <color indexed="81"/>
            <rFont val="Tahoma"/>
            <family val="2"/>
          </rPr>
          <t>Udalova, Nadezhda [ICG-BCMA]:</t>
        </r>
        <r>
          <rPr>
            <sz val="9"/>
            <color indexed="81"/>
            <rFont val="Tahoma"/>
            <family val="2"/>
          </rPr>
          <t xml:space="preserve">
1H2018 IFRS, p.25/42</t>
        </r>
      </text>
    </comment>
    <comment ref="V206" authorId="2" shapeId="0">
      <text>
        <r>
          <rPr>
            <b/>
            <sz val="9"/>
            <color indexed="81"/>
            <rFont val="Tahoma"/>
            <family val="2"/>
          </rPr>
          <t>Saygakov, Nikita [ICG-BCMA]:</t>
        </r>
        <r>
          <rPr>
            <sz val="9"/>
            <color indexed="81"/>
            <rFont val="Tahoma"/>
            <family val="2"/>
          </rPr>
          <t xml:space="preserve">
1H 2018 IFRS p. 23/42
Note 15</t>
        </r>
      </text>
    </comment>
    <comment ref="U20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24/38
Note 15</t>
        </r>
      </text>
    </comment>
    <comment ref="V20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23-24/42
Note 15</t>
        </r>
      </text>
    </comment>
    <comment ref="W20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27/50
Note 16</t>
        </r>
      </text>
    </comment>
    <comment ref="AR2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пересмотрено в 2024 г.</t>
        </r>
      </text>
    </comment>
    <comment ref="V210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22/42
Note 15</t>
        </r>
      </text>
    </comment>
    <comment ref="W210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25/50
Note 16</t>
        </r>
      </text>
    </comment>
    <comment ref="V224" authorId="2" shapeId="0">
      <text>
        <r>
          <rPr>
            <b/>
            <sz val="9"/>
            <color indexed="81"/>
            <rFont val="Tahoma"/>
            <family val="2"/>
          </rPr>
          <t>Saygakov, Nikita [ICG-BCMA]:</t>
        </r>
        <r>
          <rPr>
            <sz val="9"/>
            <color indexed="81"/>
            <rFont val="Tahoma"/>
            <family val="2"/>
          </rPr>
          <t xml:space="preserve">
1H 2018 IFRS p. 25/42
Note 15</t>
        </r>
      </text>
    </comment>
    <comment ref="W224" authorId="2" shapeId="0">
      <text>
        <r>
          <rPr>
            <b/>
            <sz val="9"/>
            <color indexed="81"/>
            <rFont val="Tahoma"/>
            <family val="2"/>
          </rPr>
          <t>Saygakov, Nikita [ICG-BCMA]:</t>
        </r>
        <r>
          <rPr>
            <sz val="9"/>
            <color indexed="81"/>
            <rFont val="Tahoma"/>
            <family val="2"/>
          </rPr>
          <t xml:space="preserve">
3Q 2018 IFRS p. 29/50
Note 16</t>
        </r>
      </text>
    </comment>
    <comment ref="V225" authorId="2" shapeId="0">
      <text>
        <r>
          <rPr>
            <b/>
            <sz val="9"/>
            <color indexed="81"/>
            <rFont val="Tahoma"/>
            <family val="2"/>
          </rPr>
          <t>Saygakov, Nikita [ICG-BCMA]:</t>
        </r>
        <r>
          <rPr>
            <sz val="9"/>
            <color indexed="81"/>
            <rFont val="Tahoma"/>
            <family val="2"/>
          </rPr>
          <t xml:space="preserve">
1H 2018 IFRS p. 25/42
Note 15</t>
        </r>
      </text>
    </comment>
    <comment ref="W225" authorId="2" shapeId="0">
      <text>
        <r>
          <rPr>
            <b/>
            <sz val="9"/>
            <color indexed="81"/>
            <rFont val="Tahoma"/>
            <family val="2"/>
          </rPr>
          <t>Saygakov, Nikita [ICG-BCMA]:</t>
        </r>
        <r>
          <rPr>
            <sz val="9"/>
            <color indexed="81"/>
            <rFont val="Tahoma"/>
            <family val="2"/>
          </rPr>
          <t xml:space="preserve">
3Q 2018 IFRS p. 29/50
Note 16</t>
        </r>
      </text>
    </comment>
    <comment ref="V226" authorId="3" shapeId="0">
      <text>
        <r>
          <rPr>
            <b/>
            <sz val="9"/>
            <color indexed="81"/>
            <rFont val="Tahoma"/>
            <family val="2"/>
          </rPr>
          <t>Udalova, Nadezhda [ICG-BCMA]:</t>
        </r>
        <r>
          <rPr>
            <sz val="9"/>
            <color indexed="81"/>
            <rFont val="Tahoma"/>
            <family val="2"/>
          </rPr>
          <t xml:space="preserve">
1H2018 IFRS draft, p.25/42</t>
        </r>
      </text>
    </comment>
    <comment ref="V227" authorId="2" shapeId="0">
      <text>
        <r>
          <rPr>
            <b/>
            <sz val="9"/>
            <color indexed="81"/>
            <rFont val="Tahoma"/>
            <family val="2"/>
          </rPr>
          <t>Saygakov, Nikita [ICG-BCMA]:</t>
        </r>
        <r>
          <rPr>
            <sz val="9"/>
            <color indexed="81"/>
            <rFont val="Tahoma"/>
            <family val="2"/>
          </rPr>
          <t xml:space="preserve">
1H 2018 IFRS p. 25/42
Note 15</t>
        </r>
      </text>
    </comment>
    <comment ref="W227" authorId="2" shapeId="0">
      <text>
        <r>
          <rPr>
            <b/>
            <sz val="9"/>
            <color indexed="81"/>
            <rFont val="Tahoma"/>
            <family val="2"/>
          </rPr>
          <t>Saygakov, Nikita [ICG-BCMA]:</t>
        </r>
        <r>
          <rPr>
            <sz val="9"/>
            <color indexed="81"/>
            <rFont val="Tahoma"/>
            <family val="2"/>
          </rPr>
          <t xml:space="preserve">
3Q 2018 IFRS p. 29/50
Note 16</t>
        </r>
      </text>
    </comment>
    <comment ref="V228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26/42
Note 15</t>
        </r>
      </text>
    </comment>
    <comment ref="W228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31/50
Note 16</t>
        </r>
      </text>
    </comment>
    <comment ref="U23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26/38
Note 17</t>
        </r>
      </text>
    </comment>
    <comment ref="V23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28/42
Note 17</t>
        </r>
      </text>
    </comment>
    <comment ref="W23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32/50
Note 18</t>
        </r>
      </text>
    </comment>
    <comment ref="U23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26/38
Note 17</t>
        </r>
      </text>
    </comment>
    <comment ref="V23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28/42
Note 17</t>
        </r>
      </text>
    </comment>
    <comment ref="W23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32/50
Note 18</t>
        </r>
      </text>
    </comment>
    <comment ref="V23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28/42
Note 17</t>
        </r>
      </text>
    </comment>
    <comment ref="U240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26/38
Note 17</t>
        </r>
      </text>
    </comment>
    <comment ref="V240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28/42
Note 17</t>
        </r>
      </text>
    </comment>
    <comment ref="W240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32/50
Note 18</t>
        </r>
      </text>
    </comment>
    <comment ref="U241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26/38
Note 17</t>
        </r>
      </text>
    </comment>
    <comment ref="V241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28/42
Note 17</t>
        </r>
      </text>
    </comment>
    <comment ref="W241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32/50
Note 18</t>
        </r>
      </text>
    </comment>
    <comment ref="U242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26/38
Note 17</t>
        </r>
      </text>
    </comment>
    <comment ref="V242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28/42
Note 17</t>
        </r>
      </text>
    </comment>
    <comment ref="W242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32/50
Note 18</t>
        </r>
      </text>
    </comment>
    <comment ref="U25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25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25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U25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25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25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U25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25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25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U258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258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258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U260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260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260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U261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261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261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U263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263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263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U26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26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26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U26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26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26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U26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26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26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U281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25/38
Note 16</t>
        </r>
      </text>
    </comment>
    <comment ref="U282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25/38
Note 16</t>
        </r>
      </text>
    </comment>
    <comment ref="V282" authorId="3" shapeId="0">
      <text>
        <r>
          <rPr>
            <b/>
            <sz val="9"/>
            <color indexed="81"/>
            <rFont val="Tahoma"/>
            <family val="2"/>
          </rPr>
          <t>Udalova, Nadezhda [ICG-BCMA]:</t>
        </r>
        <r>
          <rPr>
            <sz val="9"/>
            <color indexed="81"/>
            <rFont val="Tahoma"/>
            <family val="2"/>
          </rPr>
          <t xml:space="preserve">
1H2018 IFRS, p.27/42</t>
        </r>
      </text>
    </comment>
    <comment ref="U284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25/38
Note 16</t>
        </r>
      </text>
    </comment>
    <comment ref="V284" authorId="3" shapeId="0">
      <text>
        <r>
          <rPr>
            <b/>
            <sz val="9"/>
            <color indexed="81"/>
            <rFont val="Tahoma"/>
            <family val="2"/>
          </rPr>
          <t>Udalova, Nadezhda [ICG-BCMA]:</t>
        </r>
        <r>
          <rPr>
            <sz val="9"/>
            <color indexed="81"/>
            <rFont val="Tahoma"/>
            <family val="2"/>
          </rPr>
          <t xml:space="preserve">
1H2018 IFRS, p.27/42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2019FY</t>
        </r>
      </text>
    </comment>
    <comment ref="C28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1Q2020</t>
        </r>
      </text>
    </comment>
    <comment ref="C29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9m20</t>
        </r>
      </text>
    </comment>
    <comment ref="C29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4Q2020</t>
        </r>
      </text>
    </comment>
    <comment ref="U30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30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306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U30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1Q 2018 IFRS p. 20/38
Note 14</t>
        </r>
      </text>
    </comment>
    <comment ref="V30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21/42
Note 14</t>
        </r>
      </text>
    </comment>
    <comment ref="W30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3Q 2018 IFRS p. 23/50
Note 15</t>
        </r>
      </text>
    </comment>
    <comment ref="AN31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3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3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3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U3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будет пересмотр в отчетности за 9м25</t>
        </r>
      </text>
    </comment>
    <comment ref="AU3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будет пересмотр в отчетности за 9м25</t>
        </r>
      </text>
    </comment>
    <comment ref="AU3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будет пересмотр в отчетности за 9м25</t>
        </r>
      </text>
    </comment>
    <comment ref="AC36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hedging</t>
        </r>
      </text>
    </comment>
    <comment ref="AK36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36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36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6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U38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будет пересмотр в отчетности за 9м25</t>
        </r>
      </text>
    </comment>
    <comment ref="AU3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будет пересмотр в отчетности за 9м25</t>
        </r>
      </text>
    </comment>
    <comment ref="AU38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будет пересмотр в отчетности за 9м25</t>
        </r>
      </text>
    </comment>
    <comment ref="AS40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T40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U40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V40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K41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1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1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1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1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1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M41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N41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N43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3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3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3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7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7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7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7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8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8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8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8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O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P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Q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R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T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U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V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W48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V558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33/42
Note 25</t>
        </r>
      </text>
    </comment>
    <comment ref="AA55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net of provision</t>
        </r>
      </text>
    </comment>
    <comment ref="V562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28/42
Note 17</t>
        </r>
      </text>
    </comment>
    <comment ref="V567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1H 2018 IFRS p. 9/42
Note 1</t>
        </r>
      </text>
    </comment>
    <comment ref="AS5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T5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U5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V5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</commentList>
</comments>
</file>

<file path=xl/comments2.xml><?xml version="1.0" encoding="utf-8"?>
<comments xmlns="http://schemas.openxmlformats.org/spreadsheetml/2006/main">
  <authors>
    <author>Голицына Дарья Дмитриевна</author>
  </authors>
  <commentList>
    <comment ref="X40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за вычетом резервов первого дня Хоум банка</t>
        </r>
      </text>
    </comment>
    <comment ref="AJ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R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Y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J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R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J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R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Y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3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за вычетом резервов первого дня Хоум банка</t>
        </r>
      </text>
    </comment>
    <comment ref="AJ43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за вычетом резервов первого дня Хоум банка</t>
        </r>
      </text>
    </comment>
    <comment ref="AR43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за вычетом резервов первого дня Хоум банка</t>
        </r>
      </text>
    </comment>
    <comment ref="AY43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за вычетом резервов первого дня Хоум банка</t>
        </r>
      </text>
    </comment>
    <comment ref="X44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за вычетом резервов первого дня Хоум банка</t>
        </r>
      </text>
    </comment>
    <comment ref="AJ44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за вычетом резервов первого дня Хоум банка</t>
        </r>
      </text>
    </comment>
    <comment ref="AR44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за вычетом резервов первого дня Хоум банка</t>
        </r>
      </text>
    </comment>
    <comment ref="AY44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за вычетом резервов первого дня Хоум банка</t>
        </r>
      </text>
    </comment>
  </commentList>
</comments>
</file>

<file path=xl/sharedStrings.xml><?xml version="1.0" encoding="utf-8"?>
<sst xmlns="http://schemas.openxmlformats.org/spreadsheetml/2006/main" count="1287" uniqueCount="513">
  <si>
    <t>Balance Sheet</t>
  </si>
  <si>
    <t>RUBmn</t>
  </si>
  <si>
    <t>Total Assets</t>
  </si>
  <si>
    <t>Gross Loans</t>
  </si>
  <si>
    <t>Tier 1 Ratio</t>
  </si>
  <si>
    <t>Tier 1 Capital</t>
  </si>
  <si>
    <t>Total Capital</t>
  </si>
  <si>
    <t>RWAs</t>
  </si>
  <si>
    <t>Income Statement</t>
  </si>
  <si>
    <t>Interest income</t>
  </si>
  <si>
    <t>Interest expense</t>
  </si>
  <si>
    <t>Obligatory deposit insurance</t>
  </si>
  <si>
    <t>Net interest income</t>
  </si>
  <si>
    <t>Fee and commission income</t>
  </si>
  <si>
    <t>Fee and commission expense</t>
  </si>
  <si>
    <t>Net fee and commission income</t>
  </si>
  <si>
    <t>Net gain on financial instruments at fair value through profit or loss</t>
  </si>
  <si>
    <t>Ann. Factor</t>
  </si>
  <si>
    <t>Revaluation of buildings and investment property</t>
  </si>
  <si>
    <t>Operating Expenses</t>
  </si>
  <si>
    <t>Profit before income tax expense</t>
  </si>
  <si>
    <t>Income tax expense</t>
  </si>
  <si>
    <t>Profit for the year</t>
  </si>
  <si>
    <t>Key Ratios</t>
  </si>
  <si>
    <t>N1.1 Ratio</t>
  </si>
  <si>
    <t>N1.2 Ratio</t>
  </si>
  <si>
    <t>N1.0 Ratio</t>
  </si>
  <si>
    <t>Loans / Deposits</t>
  </si>
  <si>
    <t>Coverage Ratio</t>
  </si>
  <si>
    <t>1H 2017</t>
  </si>
  <si>
    <t>Cost / Income</t>
  </si>
  <si>
    <t>Check</t>
  </si>
  <si>
    <t>Loans to individuals</t>
  </si>
  <si>
    <t>Other</t>
  </si>
  <si>
    <t>Corporate loans</t>
  </si>
  <si>
    <t>Other Metrics</t>
  </si>
  <si>
    <t>Loans to related parties</t>
  </si>
  <si>
    <t>Loan concentration</t>
  </si>
  <si>
    <t>Loan concentration as % of gross loans</t>
  </si>
  <si>
    <t>Deposit Concentration -</t>
  </si>
  <si>
    <t>Deposit Concentration as % of deposits</t>
  </si>
  <si>
    <t>Comment</t>
  </si>
  <si>
    <t>Mortgages</t>
  </si>
  <si>
    <t>Corporate Loans</t>
  </si>
  <si>
    <t>Other operating income</t>
  </si>
  <si>
    <t>1H 2016</t>
  </si>
  <si>
    <t>Average</t>
  </si>
  <si>
    <t>Cash and cash equivalents</t>
  </si>
  <si>
    <t>Mandatory cash balances with the CBR</t>
  </si>
  <si>
    <t>Placements with banks:</t>
  </si>
  <si>
    <t>held by the Group</t>
  </si>
  <si>
    <t>pledged under sale and repurchase agreements</t>
  </si>
  <si>
    <t>Financial instruments at fair value through profit or loss:</t>
  </si>
  <si>
    <t>Held to maturity investment securities</t>
  </si>
  <si>
    <t>Loans to customers:</t>
  </si>
  <si>
    <t>Investments in associates</t>
  </si>
  <si>
    <t>Assets held for sale</t>
  </si>
  <si>
    <t>Investment property</t>
  </si>
  <si>
    <t>Property and equipment and intangible assets</t>
  </si>
  <si>
    <t>Goodwill</t>
  </si>
  <si>
    <t>Deferred tax asset</t>
  </si>
  <si>
    <t>Other assets</t>
  </si>
  <si>
    <t>Due to the CBR</t>
  </si>
  <si>
    <t>Due to banks</t>
  </si>
  <si>
    <t>Due to customers</t>
  </si>
  <si>
    <t>Debt securities issued</t>
  </si>
  <si>
    <t>Other borrowed funds</t>
  </si>
  <si>
    <t>Subordinated debt</t>
  </si>
  <si>
    <t>Deferred tax liability</t>
  </si>
  <si>
    <t>Non-controlling interest</t>
  </si>
  <si>
    <t>Other liabilities</t>
  </si>
  <si>
    <t>Total liabilities</t>
  </si>
  <si>
    <t>Share capital</t>
  </si>
  <si>
    <t>Treasury shares</t>
  </si>
  <si>
    <t>Other capital contributions</t>
  </si>
  <si>
    <t>Foreign currency translation reserve</t>
  </si>
  <si>
    <t>Perpetual subordinated debt</t>
  </si>
  <si>
    <t>Revaluation reserve for buildings</t>
  </si>
  <si>
    <t>Retained earnings</t>
  </si>
  <si>
    <t>Total equity attributable to shareholders of the Bank</t>
  </si>
  <si>
    <t>Non-controlling interests</t>
  </si>
  <si>
    <t>Total equity</t>
  </si>
  <si>
    <t>Interest earning assets</t>
  </si>
  <si>
    <t>Interest bearing liabilities</t>
  </si>
  <si>
    <t>Financial instruments at fair value through profit or loss</t>
  </si>
  <si>
    <t>Current accounts and deposits from customers</t>
  </si>
  <si>
    <t>Deposits and balances from banks</t>
  </si>
  <si>
    <t>Net foreign exchange (loss)/gain</t>
  </si>
  <si>
    <t>Penalties received</t>
  </si>
  <si>
    <t>Disposal of fixed assets</t>
  </si>
  <si>
    <t>Income from operating sublease</t>
  </si>
  <si>
    <t>Operating lease</t>
  </si>
  <si>
    <t>Gain from asset restructuring</t>
  </si>
  <si>
    <t>Operating income (pre LLP)</t>
  </si>
  <si>
    <t>Personnel expenses</t>
  </si>
  <si>
    <t>Depreciation and Amortisation</t>
  </si>
  <si>
    <t>Other general and administrative expenses</t>
  </si>
  <si>
    <t>Other impairment and provisions</t>
  </si>
  <si>
    <t>Goodwill Impairment</t>
  </si>
  <si>
    <t>Profit for the year attributable to:</t>
  </si>
  <si>
    <t>Profit to shareholders of the Bank</t>
  </si>
  <si>
    <t>Profit to non-controlling interests</t>
  </si>
  <si>
    <t>Loans Breakdown</t>
  </si>
  <si>
    <t>Other retail</t>
  </si>
  <si>
    <t>Retail Loans (Loans to Individuals)</t>
  </si>
  <si>
    <t>Bonds of companies with State participation</t>
  </si>
  <si>
    <t>Corporate bonds</t>
  </si>
  <si>
    <t>Loans to constituent entities of the Russian Federation and municipal institutions</t>
  </si>
  <si>
    <t>Loans to corporate entities</t>
  </si>
  <si>
    <t>Loans to small entities and other loans to customers</t>
  </si>
  <si>
    <t>Retail Provisions</t>
  </si>
  <si>
    <t>Corporate Provisions</t>
  </si>
  <si>
    <t>Total Provisions</t>
  </si>
  <si>
    <t>Net Retail Loans</t>
  </si>
  <si>
    <t>90DPD Retail</t>
  </si>
  <si>
    <t>90DPD Corporate</t>
  </si>
  <si>
    <t>90DPD Total</t>
  </si>
  <si>
    <t>Deposit Breakdown</t>
  </si>
  <si>
    <t>Term Deposits</t>
  </si>
  <si>
    <t>Current accounts and demand deposits</t>
  </si>
  <si>
    <t>Total Retail Deposits (Individual)</t>
  </si>
  <si>
    <t>Term deposits</t>
  </si>
  <si>
    <t>Amounts payable under repurchase agreements</t>
  </si>
  <si>
    <t>Total Corporate Deposits (Legal entities)</t>
  </si>
  <si>
    <t>Total Customer Deposits</t>
  </si>
  <si>
    <t>Securities Breakdown</t>
  </si>
  <si>
    <t>Derivatives</t>
  </si>
  <si>
    <t>Capital Breakdown</t>
  </si>
  <si>
    <t>Tier 2 Capital</t>
  </si>
  <si>
    <t xml:space="preserve">Capital adequacy ratio </t>
  </si>
  <si>
    <t>RWAs / Assets</t>
  </si>
  <si>
    <t>Balance sheet ratios</t>
  </si>
  <si>
    <t>Loans / Assets</t>
  </si>
  <si>
    <t>Equity / Assets</t>
  </si>
  <si>
    <t>Deposits / Assets</t>
  </si>
  <si>
    <t>Deposits / Liabilities</t>
  </si>
  <si>
    <t>Loan Portfolio Quality</t>
  </si>
  <si>
    <t>90DPD NPL Ratio - total gross</t>
  </si>
  <si>
    <t>LLR / Gross Loans</t>
  </si>
  <si>
    <t>Retail NPL Ratio</t>
  </si>
  <si>
    <t>Retail Coverage Ratio</t>
  </si>
  <si>
    <t>Corporate NPL Ratio</t>
  </si>
  <si>
    <t>Corporate Coverage Ratio</t>
  </si>
  <si>
    <t>Income statement ratios</t>
  </si>
  <si>
    <t>NII / Op. Income</t>
  </si>
  <si>
    <t>NFC / Op. Income</t>
  </si>
  <si>
    <t>Cost of Funding</t>
  </si>
  <si>
    <t>LLP / Pre-Prov. Income</t>
  </si>
  <si>
    <t>Profitability - As reported</t>
  </si>
  <si>
    <t>Profitability - Adjusted</t>
  </si>
  <si>
    <t>Net Corporate Loans</t>
  </si>
  <si>
    <t>&lt;&lt; top 10 largest</t>
  </si>
  <si>
    <t xml:space="preserve">Sovcombank </t>
  </si>
  <si>
    <t>Employee number</t>
  </si>
  <si>
    <t>REB</t>
  </si>
  <si>
    <t>Net gain on available-for-sale assets</t>
  </si>
  <si>
    <t>Investments securities at FVOCI (Available-for-sale investment securities)</t>
  </si>
  <si>
    <t>Revaluation reserve for available-for-sale assets (FVTOCI)</t>
  </si>
  <si>
    <t>Share of profit of associates</t>
  </si>
  <si>
    <t>Gain on loan repayment obligations to DIA</t>
  </si>
  <si>
    <t>Revenues and other gains from other non-banking business</t>
  </si>
  <si>
    <t>Cost and other losses from other non-banking business</t>
  </si>
  <si>
    <t>Placements with banks and financial institutions</t>
  </si>
  <si>
    <t>Revaluation of investments in associates</t>
  </si>
  <si>
    <t>Net gains on foreign currency swaps</t>
  </si>
  <si>
    <t>No disclosure</t>
  </si>
  <si>
    <t>Current income tax asset</t>
  </si>
  <si>
    <t>Gain on remeasurement of cash flows from interest-bearing assets acquired in business combination</t>
  </si>
  <si>
    <t>3m 2019</t>
  </si>
  <si>
    <t>9m 2018</t>
  </si>
  <si>
    <t xml:space="preserve">     Retail</t>
  </si>
  <si>
    <t xml:space="preserve">     CIB</t>
  </si>
  <si>
    <t xml:space="preserve">     Treasury</t>
  </si>
  <si>
    <t>Net gain on financial instruments at FVPL</t>
  </si>
  <si>
    <t>Net gain on derecognition of financial assets at FVOCI</t>
  </si>
  <si>
    <t>Inter-segment revenue</t>
  </si>
  <si>
    <t>Total revenue</t>
  </si>
  <si>
    <t>Net loss on financial instruments at FVPL</t>
  </si>
  <si>
    <t>Net loss on derecognition of financial assets at FVOCI</t>
  </si>
  <si>
    <t>Allowance for credit losses</t>
  </si>
  <si>
    <t>Other expenses</t>
  </si>
  <si>
    <t>Inter-segment expenses</t>
  </si>
  <si>
    <t>Total expenses</t>
  </si>
  <si>
    <t>Segment results</t>
  </si>
  <si>
    <t>Segment reporting, P&amp;L</t>
  </si>
  <si>
    <t>Net foreign exchange gain and net gain on currency derivatives/ transactions wiith precious metals</t>
  </si>
  <si>
    <t>Net loss from other non-banking business</t>
  </si>
  <si>
    <t>P&amp;L breakdown</t>
  </si>
  <si>
    <r>
      <t xml:space="preserve">     </t>
    </r>
    <r>
      <rPr>
        <sz val="8"/>
        <rFont val="Arial"/>
        <family val="2"/>
      </rPr>
      <t>Financial protection program membership</t>
    </r>
  </si>
  <si>
    <r>
      <t xml:space="preserve">     </t>
    </r>
    <r>
      <rPr>
        <sz val="8"/>
        <rFont val="Arial"/>
        <family val="2"/>
      </rPr>
      <t>Plastic card operations</t>
    </r>
  </si>
  <si>
    <r>
      <t xml:space="preserve">     </t>
    </r>
    <r>
      <rPr>
        <sz val="8"/>
        <rFont val="Arial"/>
        <family val="2"/>
      </rPr>
      <t>Settlement operations</t>
    </r>
  </si>
  <si>
    <r>
      <t xml:space="preserve">     </t>
    </r>
    <r>
      <rPr>
        <sz val="8"/>
        <rFont val="Arial"/>
        <family val="2"/>
      </rPr>
      <t>Issuance of bank guarantees</t>
    </r>
  </si>
  <si>
    <r>
      <t xml:space="preserve">     </t>
    </r>
    <r>
      <rPr>
        <sz val="8"/>
        <rFont val="Arial"/>
        <family val="2"/>
      </rPr>
      <t>Income from electronic trading platforms</t>
    </r>
  </si>
  <si>
    <r>
      <t xml:space="preserve">     </t>
    </r>
    <r>
      <rPr>
        <sz val="8"/>
        <rFont val="Arial"/>
        <family val="2"/>
      </rPr>
      <t>Agent fee for selling insurance products</t>
    </r>
  </si>
  <si>
    <r>
      <t xml:space="preserve">     </t>
    </r>
    <r>
      <rPr>
        <sz val="8"/>
        <rFont val="Arial"/>
        <family val="2"/>
      </rPr>
      <t>Other</t>
    </r>
  </si>
  <si>
    <t xml:space="preserve">Securities Underwriting </t>
  </si>
  <si>
    <t>Currency Control</t>
  </si>
  <si>
    <t xml:space="preserve">Lending operations </t>
  </si>
  <si>
    <t xml:space="preserve">Cash operations </t>
  </si>
  <si>
    <t>Corporate bonds and Eurobonds (FVPL)</t>
  </si>
  <si>
    <t>Bonds of companies with State participation (FVPL)</t>
  </si>
  <si>
    <t>Corporate shares (FVPL)</t>
  </si>
  <si>
    <t>Investments in shares as part of messanine lending</t>
  </si>
  <si>
    <t>Investments in credit institutions</t>
  </si>
  <si>
    <t>Investment securities at FVOCI/ AFS investment securities</t>
  </si>
  <si>
    <t>Total Current Accounts</t>
  </si>
  <si>
    <t>Total Term Deposits</t>
  </si>
  <si>
    <t>Retail Loans Secured</t>
  </si>
  <si>
    <t>Retail Loans Unsecured</t>
  </si>
  <si>
    <t>Net interest income before allowance for credit losses</t>
  </si>
  <si>
    <t>OPEX</t>
  </si>
  <si>
    <t>3m 2018</t>
  </si>
  <si>
    <t>1Q2019</t>
  </si>
  <si>
    <t>2Q2018</t>
  </si>
  <si>
    <t>1Q2018</t>
  </si>
  <si>
    <t>Retail loans</t>
  </si>
  <si>
    <t>4Q2018</t>
  </si>
  <si>
    <t xml:space="preserve">One-offs </t>
  </si>
  <si>
    <t>Securities revaluation</t>
  </si>
  <si>
    <t>Net gain/(loss) on financial instruments at fair value through profit or loss</t>
  </si>
  <si>
    <t>Net gain/ (loss) on available-for-sale assets</t>
  </si>
  <si>
    <t>Net gain/(loss) on financial instruments at fair value through other comprehensive income</t>
  </si>
  <si>
    <t>FX</t>
  </si>
  <si>
    <t>Other one-offs</t>
  </si>
  <si>
    <t>Bargain purchase gain</t>
  </si>
  <si>
    <t>Gain from settlement of pre-existing relationship</t>
  </si>
  <si>
    <t>Other other operating income</t>
  </si>
  <si>
    <t>Total One-offs</t>
  </si>
  <si>
    <t>Total One-offs after tax</t>
  </si>
  <si>
    <t>Adjusted profit for the period</t>
  </si>
  <si>
    <t>Weight factor for average</t>
  </si>
  <si>
    <t>Net gain/loss on financial instruments at amortized cost</t>
  </si>
  <si>
    <t>Foreign states' Eurobonds (FVPL)</t>
  </si>
  <si>
    <t>Russian state' OFZ (FVPL)</t>
  </si>
  <si>
    <t>Total assets</t>
  </si>
  <si>
    <t>Consumer loans</t>
  </si>
  <si>
    <t>Installment cards</t>
  </si>
  <si>
    <t>FY2016</t>
  </si>
  <si>
    <t>FY2017</t>
  </si>
  <si>
    <t>FY2018</t>
  </si>
  <si>
    <t>Consumer  Loans</t>
  </si>
  <si>
    <t>Installment Cards</t>
  </si>
  <si>
    <t>Car Loans</t>
  </si>
  <si>
    <t>Car loans</t>
  </si>
  <si>
    <t>Net gain/(loss) on financial instruments at amortized cost</t>
  </si>
  <si>
    <t>Net foreign exchange gain</t>
  </si>
  <si>
    <t>Share in net retail loans -&gt;</t>
  </si>
  <si>
    <t>NPL -&gt;</t>
  </si>
  <si>
    <t xml:space="preserve">  Financial instruments at FVPL</t>
  </si>
  <si>
    <t>Total Equity</t>
  </si>
  <si>
    <t>Sale and repurchase agreements</t>
  </si>
  <si>
    <t>Collateral for DX</t>
  </si>
  <si>
    <t>Total - Sale and repurchase agreements and deposits</t>
  </si>
  <si>
    <t>Deposits with banks/ Reverse REPO</t>
  </si>
  <si>
    <t>Adjusted PBT</t>
  </si>
  <si>
    <t>9m 2019</t>
  </si>
  <si>
    <t>Loans to corporate customers and bonds measured at amortized cost</t>
  </si>
  <si>
    <t>Net gain on derecognition of financial instruments at amortized cost</t>
  </si>
  <si>
    <t>State and municipal bonds and eurobonds</t>
  </si>
  <si>
    <t>Bonds at amortized cost</t>
  </si>
  <si>
    <t>Corporate loans provision</t>
  </si>
  <si>
    <t>SME provision</t>
  </si>
  <si>
    <t>State &amp; muncipals provisions</t>
  </si>
  <si>
    <t>Net</t>
  </si>
  <si>
    <t xml:space="preserve">     CIB </t>
  </si>
  <si>
    <t>OPEX coverage by Retail PBT</t>
  </si>
  <si>
    <t xml:space="preserve">Liquid assets/Due to customers </t>
  </si>
  <si>
    <t>Liquidity cushion</t>
  </si>
  <si>
    <t>OPEX / Employee</t>
  </si>
  <si>
    <t>%%</t>
  </si>
  <si>
    <t>Secured loans</t>
  </si>
  <si>
    <t>Usecured loans</t>
  </si>
  <si>
    <t xml:space="preserve">  Placements with bank provisions</t>
  </si>
  <si>
    <t xml:space="preserve">  Placements with bank before provisions</t>
  </si>
  <si>
    <t>FY2019</t>
  </si>
  <si>
    <t>Right-of-use assets</t>
  </si>
  <si>
    <t>Disposal of foreclosed assets (repossessed assets)</t>
  </si>
  <si>
    <t>1H 2015</t>
  </si>
  <si>
    <t>1H 2014</t>
  </si>
  <si>
    <t>1H 2013</t>
  </si>
  <si>
    <t>1H 2018</t>
  </si>
  <si>
    <t>1H 2019</t>
  </si>
  <si>
    <t>FY2015</t>
  </si>
  <si>
    <t>FY2014</t>
  </si>
  <si>
    <t>FY2013</t>
  </si>
  <si>
    <t>FY2012</t>
  </si>
  <si>
    <t>FY2011</t>
  </si>
  <si>
    <t>FY2010</t>
  </si>
  <si>
    <t>1H 2012</t>
  </si>
  <si>
    <t>1H 2011</t>
  </si>
  <si>
    <t>NIM</t>
  </si>
  <si>
    <t>FY2009</t>
  </si>
  <si>
    <t>1H 2010</t>
  </si>
  <si>
    <t>Finance lease receivables</t>
  </si>
  <si>
    <t>Lease liabilities</t>
  </si>
  <si>
    <t>Financial instruments at fair value through other comprehensive income</t>
  </si>
  <si>
    <t>&lt;&lt;Financial instruments at fair value through other comprehensive income</t>
  </si>
  <si>
    <t>Russian subfederal and municipal bonds (FVPL)</t>
  </si>
  <si>
    <t>&lt;&lt; reclass to Allowance for credit losses 2018 &amp; 2019</t>
  </si>
  <si>
    <t>Net gain from other non-banking business</t>
  </si>
  <si>
    <t>Segment assets</t>
  </si>
  <si>
    <t>Segment liabilities</t>
  </si>
  <si>
    <t>NFCI / OPEX</t>
  </si>
  <si>
    <t>NFCI / Operating income (incl. allowance for credit losses)</t>
  </si>
  <si>
    <t>3m 2020</t>
  </si>
  <si>
    <t>Shares in companies with the state participation (FVPL)</t>
  </si>
  <si>
    <t>Russian federal loan bonds (OFZ bonds) (FVOCI)</t>
  </si>
  <si>
    <t>Russian federal Eurobonds (FVPL)</t>
  </si>
  <si>
    <t>Bonds of companies with State participation (FVOCI)</t>
  </si>
  <si>
    <t>Operating margin</t>
  </si>
  <si>
    <t>1H 2020</t>
  </si>
  <si>
    <t>9m 2020</t>
  </si>
  <si>
    <t>2Q2019</t>
  </si>
  <si>
    <t>3Q2019</t>
  </si>
  <si>
    <t>4Q2019</t>
  </si>
  <si>
    <t>1Q2020</t>
  </si>
  <si>
    <t>1H2019</t>
  </si>
  <si>
    <t>9m2019</t>
  </si>
  <si>
    <t>1H2020</t>
  </si>
  <si>
    <t>Retail</t>
  </si>
  <si>
    <t>CIB</t>
  </si>
  <si>
    <t>Treasury</t>
  </si>
  <si>
    <t>Placements with banks</t>
  </si>
  <si>
    <t>Treasury segment</t>
  </si>
  <si>
    <t>CIB segment</t>
  </si>
  <si>
    <t>&lt;&lt;net</t>
  </si>
  <si>
    <t>Financial instruments</t>
  </si>
  <si>
    <t>NII + NFCI</t>
  </si>
  <si>
    <t>Stage 3 &amp; POCI ratios</t>
  </si>
  <si>
    <t>Mortgage</t>
  </si>
  <si>
    <t>Corporate Stage 3 &amp; POCI</t>
  </si>
  <si>
    <t>Corporate Stage 2</t>
  </si>
  <si>
    <t>Total Stage 3 &amp; POCI</t>
  </si>
  <si>
    <t>Corporate Stage 3 &amp; POCI coverage</t>
  </si>
  <si>
    <t>Total Stage 3 &amp; POCI coverage</t>
  </si>
  <si>
    <t>Stage 3 &amp; POCI</t>
  </si>
  <si>
    <t>Gross loan portfolio</t>
  </si>
  <si>
    <t>Corporate Loans and Bonds at amortized cost</t>
  </si>
  <si>
    <t>Allowance for loan impairment</t>
  </si>
  <si>
    <t>Allowance for retail loans impairment</t>
  </si>
  <si>
    <t>Allowance for corporate loans and bonds impairment</t>
  </si>
  <si>
    <t>Total allowance for loan impairment</t>
  </si>
  <si>
    <t>COF</t>
  </si>
  <si>
    <t>Due to CBR</t>
  </si>
  <si>
    <t>Due to customers (retail)</t>
  </si>
  <si>
    <t>Due to customers (corporate)</t>
  </si>
  <si>
    <t>2Q2020</t>
  </si>
  <si>
    <t>Cost of risk (LLP / Gross Loans)</t>
  </si>
  <si>
    <t>Retail Cost of Risk</t>
  </si>
  <si>
    <t>Unsecured</t>
  </si>
  <si>
    <t>Secured</t>
  </si>
  <si>
    <t xml:space="preserve">Corporate Cost of Risk </t>
  </si>
  <si>
    <t>Allowance for credit losses (retail loans + corp loans + bonds)</t>
  </si>
  <si>
    <t>FY2020</t>
  </si>
  <si>
    <t>Gross Loans excl. bonds</t>
  </si>
  <si>
    <t>Corporate bonds and Eurobonds (FVOCI)</t>
  </si>
  <si>
    <t>Russian subfederal and municipal bonds (FVOCI)</t>
  </si>
  <si>
    <t>Cost of Risk (LLP / Gross Loans)</t>
  </si>
  <si>
    <t>9m2020</t>
  </si>
  <si>
    <t>3Q2020</t>
  </si>
  <si>
    <t>SME</t>
  </si>
  <si>
    <t>Corporate</t>
  </si>
  <si>
    <t>Consumer</t>
  </si>
  <si>
    <t>Cards</t>
  </si>
  <si>
    <t>Retail Stage 2</t>
  </si>
  <si>
    <t>Retail Stage 3</t>
  </si>
  <si>
    <t>Retail Stage 3 coverage</t>
  </si>
  <si>
    <t>Advertising &amp; marketing</t>
  </si>
  <si>
    <t>&lt;&lt;corp loans only</t>
  </si>
  <si>
    <t>4Q2020</t>
  </si>
  <si>
    <t>Russian federal eurobonds (FVOCI)</t>
  </si>
  <si>
    <t>Loan concentration as % of total assets</t>
  </si>
  <si>
    <t>Loan concentration as % of gross corporate loans (incl. bonds)</t>
  </si>
  <si>
    <t>&lt;&lt;as is in IFRS</t>
  </si>
  <si>
    <t>Deposit Concentration as % of equity</t>
  </si>
  <si>
    <t>Loans to related parties as % of equity</t>
  </si>
  <si>
    <t>&lt;&lt;net basis</t>
  </si>
  <si>
    <t>Loans to related parties as % of net loans</t>
  </si>
  <si>
    <t>Retail Yield</t>
  </si>
  <si>
    <t>Current accounts</t>
  </si>
  <si>
    <t>Consumer loans / Equity</t>
  </si>
  <si>
    <t>Consumer loans / Assets</t>
  </si>
  <si>
    <t>Corporate yield</t>
  </si>
  <si>
    <t>Corporate loans &amp; bonds yield</t>
  </si>
  <si>
    <t>Corporate loans &amp; bonds</t>
  </si>
  <si>
    <t>Total interest earning assets</t>
  </si>
  <si>
    <t>Yield</t>
  </si>
  <si>
    <t>Dividends</t>
  </si>
  <si>
    <t>Bonds of corporate customers at amortized cost</t>
  </si>
  <si>
    <t>Bonds of banks at amortized cost</t>
  </si>
  <si>
    <t>Total Stage 2</t>
  </si>
  <si>
    <t xml:space="preserve">  Bonds of banks after provisions</t>
  </si>
  <si>
    <t>3m 2021</t>
  </si>
  <si>
    <t>1Q2021</t>
  </si>
  <si>
    <t>Bonds FVPL</t>
  </si>
  <si>
    <t>Bonds FVOCI</t>
  </si>
  <si>
    <t>Wholesale</t>
  </si>
  <si>
    <t>Net Loans (excl. bonds)</t>
  </si>
  <si>
    <t>Net Loans</t>
  </si>
  <si>
    <t>&lt;&lt;incl. CBR</t>
  </si>
  <si>
    <t xml:space="preserve">RoAA </t>
  </si>
  <si>
    <t>RoAE</t>
  </si>
  <si>
    <t>RoAE - (excl. perpetual subordinated debt)</t>
  </si>
  <si>
    <t>RoAA</t>
  </si>
  <si>
    <t>1H 2021</t>
  </si>
  <si>
    <t>1H2021</t>
  </si>
  <si>
    <t>2Q2021</t>
  </si>
  <si>
    <t>Net income</t>
  </si>
  <si>
    <t>One-offs / Operating income (incl. allowance for credit losses)</t>
  </si>
  <si>
    <t>OPEX / Assets</t>
  </si>
  <si>
    <t>&lt;&lt;SME, state order, lease, other</t>
  </si>
  <si>
    <t>9m 2021</t>
  </si>
  <si>
    <t>3Q2021</t>
  </si>
  <si>
    <t>9m2021</t>
  </si>
  <si>
    <t>Net interest income incl. Inter-segment</t>
  </si>
  <si>
    <t>FY2021</t>
  </si>
  <si>
    <t>4Q2021</t>
  </si>
  <si>
    <t>3m 2022</t>
  </si>
  <si>
    <t>Foreign government shares</t>
  </si>
  <si>
    <t>1Q2022</t>
  </si>
  <si>
    <t>1H 2022</t>
  </si>
  <si>
    <t>Net (loss)/gain on financial instruments at amortized cost</t>
  </si>
  <si>
    <t>2Q2022</t>
  </si>
  <si>
    <t>1H2022</t>
  </si>
  <si>
    <t>Retail Stage 3 &amp; POCI</t>
  </si>
  <si>
    <t>FY2022</t>
  </si>
  <si>
    <t>&lt;&lt; if different from above. Incl. bonds</t>
  </si>
  <si>
    <t>&lt;&lt; top 10 largest. Gross loans</t>
  </si>
  <si>
    <t>3Q2022</t>
  </si>
  <si>
    <t>9m2022</t>
  </si>
  <si>
    <t>4Q2022</t>
  </si>
  <si>
    <t>3m 2023</t>
  </si>
  <si>
    <t>9m 2022</t>
  </si>
  <si>
    <t>1Q2023</t>
  </si>
  <si>
    <t>Adjusted comprehensive income</t>
  </si>
  <si>
    <t>1H 2023</t>
  </si>
  <si>
    <t>2Q2023</t>
  </si>
  <si>
    <t>1H2023</t>
  </si>
  <si>
    <t>Investments in shares held by the Group</t>
  </si>
  <si>
    <t>Investments in shares pledged under sale and repurchase agreements</t>
  </si>
  <si>
    <t>1H23</t>
  </si>
  <si>
    <t>&lt;&lt;from segment reporting</t>
  </si>
  <si>
    <t>&lt;&lt;gross</t>
  </si>
  <si>
    <t>&lt;&lt; Loans &amp; Placements with banks on gross basis</t>
  </si>
  <si>
    <t>Obligations under lease payments</t>
  </si>
  <si>
    <t>&lt;&lt;не включаем в расчет one-offs</t>
  </si>
  <si>
    <t>4Q2017</t>
  </si>
  <si>
    <t>3Q2018</t>
  </si>
  <si>
    <t>Total securities portfolio</t>
  </si>
  <si>
    <t>Income from consulting services</t>
  </si>
  <si>
    <t>Operations on electronic trading platforms</t>
  </si>
  <si>
    <t>Reclassification to adjusted profit</t>
  </si>
  <si>
    <t>Provisions on sanctioned assets</t>
  </si>
  <si>
    <t>9m 2023</t>
  </si>
  <si>
    <t>9m23</t>
  </si>
  <si>
    <t>Net loss/(gain) on foreign exchange and transactions with precious metals and derivative financial instruments</t>
  </si>
  <si>
    <t>9m2023</t>
  </si>
  <si>
    <t>3Q2023</t>
  </si>
  <si>
    <t>FY2023</t>
  </si>
  <si>
    <t>4Q2023</t>
  </si>
  <si>
    <t>&lt;&lt;вкл. регулярные и нерегулярные доходы</t>
  </si>
  <si>
    <t>Net interest income (incl. Intersegment)</t>
  </si>
  <si>
    <t>Number of shares</t>
  </si>
  <si>
    <t>3m 2024</t>
  </si>
  <si>
    <t>1Q2024</t>
  </si>
  <si>
    <t>1Q24</t>
  </si>
  <si>
    <t>Total equity (excl. perpetual subordinated debt)</t>
  </si>
  <si>
    <t>ROE</t>
  </si>
  <si>
    <t>1H 2024</t>
  </si>
  <si>
    <t>1H2024</t>
  </si>
  <si>
    <t>2Q2024</t>
  </si>
  <si>
    <t>1H24</t>
  </si>
  <si>
    <t>9m 2024</t>
  </si>
  <si>
    <t>9m2024</t>
  </si>
  <si>
    <t>3Q2024</t>
  </si>
  <si>
    <t>Operating income (pre-LLP) / Employee</t>
  </si>
  <si>
    <t>Revenue</t>
  </si>
  <si>
    <t>Income tax effect</t>
  </si>
  <si>
    <t>9m24</t>
  </si>
  <si>
    <t>FY2024</t>
  </si>
  <si>
    <t>4Q2024</t>
  </si>
  <si>
    <t>Investments in joint venture</t>
  </si>
  <si>
    <t>Net interest income after allowance for credit losses</t>
  </si>
  <si>
    <t>Allowance for credit losses (loan loss provisions - LLP)</t>
  </si>
  <si>
    <t>Share of profit in joint venture</t>
  </si>
  <si>
    <t>Net fee &amp; comission income</t>
  </si>
  <si>
    <t>Fee &amp; commission income</t>
  </si>
  <si>
    <t>Operating yield</t>
  </si>
  <si>
    <t>3m 2025</t>
  </si>
  <si>
    <t>1Q2025</t>
  </si>
  <si>
    <t>Digital financial assets issued</t>
  </si>
  <si>
    <t>1Q25</t>
  </si>
  <si>
    <t>10Y</t>
  </si>
  <si>
    <t>1H 2025</t>
  </si>
  <si>
    <t>EPS - Earnings per share (Net income / Avg. number of shares)</t>
  </si>
  <si>
    <t>BVPS - Book value per share (Shareholder equity / Avg. number of shares)</t>
  </si>
  <si>
    <t>TBVPS - Tangible book value per share ([Shareholder equity−Intangible assets]// Avg. number of shares)</t>
  </si>
  <si>
    <t>DPS - Dividends per share (Dividends / Avg. number of shares)</t>
  </si>
  <si>
    <t>REPS - Regular earnings per share (Regular net income / Avg. number of shares)</t>
  </si>
  <si>
    <t>Shareholders Equity (Total equity excl. perp. subordinated debt &amp; non-controlling interest)</t>
  </si>
  <si>
    <t>Regular net income</t>
  </si>
  <si>
    <t>Intangible assets</t>
  </si>
  <si>
    <t>CAGR</t>
  </si>
  <si>
    <t>&lt;&lt;ЦФА</t>
  </si>
  <si>
    <t>Corporate loans net 1H25&gt;&gt;</t>
  </si>
  <si>
    <t>Bonds at amortized cost net 1H25&gt;&gt;</t>
  </si>
  <si>
    <t>Digital financial assets</t>
  </si>
  <si>
    <t>2Q2025</t>
  </si>
  <si>
    <t>1H2025</t>
  </si>
  <si>
    <t>1H25</t>
  </si>
  <si>
    <t>One-off provisions</t>
  </si>
  <si>
    <t>Other gain on non-banking business</t>
  </si>
  <si>
    <t>1Q23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</si>
</sst>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₽_-;\-* #,##0.00\ _₽_-;_-* &quot;-&quot;??\ _₽_-;_-@_-"/>
    <numFmt numFmtId="165" formatCode="_(* #,##0_);_(* \(#,##0\);_(* &quot;-&quot;_);_(@_)"/>
    <numFmt numFmtId="166" formatCode="#,##0.0%_);\(#,##0.0%\);#,##0.0%_);@_%_)"/>
    <numFmt numFmtId="167" formatCode="#,##0_%_);\(#,##0\)_%;#,##0_%_);@_%_)"/>
    <numFmt numFmtId="168" formatCode="#,##0.00_%_);\(#,##0.00\)_%;#,##0.00_%_);@_%_)"/>
    <numFmt numFmtId="169" formatCode="#,##0.000_%_);\(#,##0.000\)_%;#,##0.000_%_);@_%_)"/>
    <numFmt numFmtId="170" formatCode="#,##0.00%_);\(#,##0.00%\);#,##0.00%_);@_%_)"/>
    <numFmt numFmtId="171" formatCode="0.0"/>
    <numFmt numFmtId="172" formatCode="#,##0.000"/>
    <numFmt numFmtId="173" formatCode="0.000%"/>
    <numFmt numFmtId="174" formatCode="0.0%"/>
    <numFmt numFmtId="175" formatCode="#,##0.0"/>
    <numFmt numFmtId="176" formatCode="#,##0.0_%_);\(#,##0.0\)_%;#,##0.0_%_);@_%_)"/>
    <numFmt numFmtId="177" formatCode="#,##0;\(#,##0\);0"/>
    <numFmt numFmtId="178" formatCode="_(* #,##0.00_);_(* \(#,##0.00\);_(* &quot;-&quot;??_);_(@_)"/>
    <numFmt numFmtId="179" formatCode="#,##0_);\(#,##0\);&quot; - &quot;_);@_)"/>
    <numFmt numFmtId="180" formatCode="_-* #,##0.00_р_._-;\-* #,##0.00_р_._-;_-* &quot;-&quot;??_р_._-;_-@_-"/>
    <numFmt numFmtId="181" formatCode="#,##0%_);\(#,##0%\);#,##0%_);@_%_)"/>
    <numFmt numFmtId="182" formatCode="0.000"/>
    <numFmt numFmtId="183" formatCode="_-* #,##0_-;\-* #,##0_-;_-* &quot;-&quot;??_-;_-@_-"/>
    <numFmt numFmtId="184" formatCode="_-* #,##0.0_-;\-* #,##0.0_-;_-* &quot;-&quot;??_-;_-@_-"/>
    <numFmt numFmtId="185" formatCode="_(* #,##0_);_(* \(#,##0\);_(* &quot; - &quot;_);_(* @_)"/>
    <numFmt numFmtId="186" formatCode="_(* #,##0.00_);_(* \(#,##0.00\);_(* &quot; - &quot;_);_(* @_)"/>
  </numFmts>
  <fonts count="77" x14ac:knownFonts="1">
    <font>
      <sz val="8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8"/>
      <color rgb="FF002D7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theme="9"/>
      <name val="Arial"/>
      <family val="2"/>
    </font>
    <font>
      <sz val="8"/>
      <color theme="9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Times New Roman"/>
      <family val="1"/>
    </font>
    <font>
      <b/>
      <sz val="8"/>
      <color rgb="FF002D72"/>
      <name val="Arial"/>
      <family val="2"/>
    </font>
    <font>
      <i/>
      <sz val="8"/>
      <color rgb="FF002D72"/>
      <name val="Arial"/>
      <family val="2"/>
    </font>
    <font>
      <sz val="8"/>
      <color rgb="FF002D72"/>
      <name val="Arial"/>
      <family val="2"/>
    </font>
    <font>
      <b/>
      <i/>
      <sz val="8"/>
      <color theme="9"/>
      <name val="Arial"/>
      <family val="2"/>
    </font>
    <font>
      <sz val="12"/>
      <color theme="9"/>
      <name val="Arial"/>
      <family val="2"/>
    </font>
    <font>
      <b/>
      <sz val="12"/>
      <color theme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Arial"/>
      <family val="2"/>
      <charset val="204"/>
    </font>
    <font>
      <sz val="8"/>
      <color rgb="FFFF0000"/>
      <name val="Arial"/>
      <family val="2"/>
    </font>
    <font>
      <sz val="8"/>
      <color theme="0"/>
      <name val="Arial"/>
      <family val="2"/>
    </font>
    <font>
      <i/>
      <sz val="8"/>
      <color rgb="FF000000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04"/>
    </font>
    <font>
      <b/>
      <i/>
      <sz val="8"/>
      <color theme="4" tint="0.59999389629810485"/>
      <name val="Arial"/>
      <family val="2"/>
    </font>
    <font>
      <sz val="11"/>
      <color rgb="FF000000"/>
      <name val="Calibri"/>
      <family val="2"/>
    </font>
    <font>
      <i/>
      <sz val="8"/>
      <color rgb="FF0000FF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rgb="FF0000FF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name val="Arial Narrow"/>
      <family val="2"/>
    </font>
    <font>
      <b/>
      <sz val="10"/>
      <color indexed="25"/>
      <name val="Arial Narrow"/>
      <family val="2"/>
    </font>
    <font>
      <sz val="10"/>
      <name val="Arial Cyr"/>
      <charset val="204"/>
    </font>
    <font>
      <b/>
      <i/>
      <sz val="8"/>
      <name val="Arial"/>
      <family val="2"/>
      <charset val="204"/>
    </font>
    <font>
      <sz val="8"/>
      <color theme="9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rgb="FF002D72"/>
      <name val="Arial"/>
      <family val="2"/>
      <charset val="204"/>
    </font>
    <font>
      <b/>
      <sz val="8"/>
      <color rgb="FF002D72"/>
      <name val="Arial"/>
      <family val="2"/>
      <charset val="204"/>
    </font>
    <font>
      <b/>
      <i/>
      <sz val="8"/>
      <color theme="4" tint="-0.249977111117893"/>
      <name val="Arial"/>
      <family val="2"/>
      <charset val="204"/>
    </font>
    <font>
      <i/>
      <sz val="6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8"/>
      <color rgb="FF0000FF"/>
      <name val="Arial"/>
      <family val="2"/>
      <charset val="204"/>
    </font>
    <font>
      <b/>
      <sz val="8"/>
      <color rgb="FF0000FF"/>
      <name val="Arial"/>
      <family val="2"/>
      <charset val="204"/>
    </font>
    <font>
      <b/>
      <i/>
      <sz val="8"/>
      <color theme="4" tint="-0.249977111117893"/>
      <name val="Arial"/>
      <family val="2"/>
    </font>
    <font>
      <b/>
      <sz val="8"/>
      <color rgb="FF00000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8"/>
      <color rgb="FFFF0000"/>
      <name val="Arial"/>
      <family val="2"/>
      <charset val="204"/>
    </font>
    <font>
      <sz val="6"/>
      <color rgb="FFFF0000"/>
      <name val="Arial"/>
      <family val="2"/>
    </font>
    <font>
      <i/>
      <sz val="7"/>
      <color rgb="FFFF0000"/>
      <name val="Arial"/>
      <family val="2"/>
      <charset val="204"/>
    </font>
    <font>
      <b/>
      <i/>
      <sz val="8"/>
      <color rgb="FFFF0000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Arial"/>
      <family val="2"/>
    </font>
    <font>
      <u/>
      <sz val="10"/>
      <color theme="10"/>
      <name val="Arial Cyr"/>
      <charset val="204"/>
    </font>
    <font>
      <i/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5E8E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 applyFill="0" applyBorder="0" applyAlignment="0" applyProtection="0"/>
    <xf numFmtId="167" fontId="9" fillId="0" borderId="0"/>
    <xf numFmtId="167" fontId="5" fillId="0" borderId="0"/>
    <xf numFmtId="0" fontId="16" fillId="4" borderId="0"/>
    <xf numFmtId="9" fontId="19" fillId="0" borderId="0" applyFont="0" applyFill="0" applyBorder="0" applyAlignment="0" applyProtection="0"/>
    <xf numFmtId="0" fontId="7" fillId="0" borderId="0" applyFill="0" applyBorder="0" applyAlignment="0" applyProtection="0"/>
    <xf numFmtId="0" fontId="23" fillId="0" borderId="0" applyFill="0" applyBorder="0" applyProtection="0">
      <alignment horizontal="left"/>
    </xf>
    <xf numFmtId="0" fontId="8" fillId="0" borderId="0" applyBorder="0" applyProtection="0">
      <alignment horizontal="left"/>
    </xf>
    <xf numFmtId="0" fontId="17" fillId="0" borderId="0" applyFill="0" applyBorder="0" applyProtection="0">
      <alignment horizontal="left"/>
    </xf>
    <xf numFmtId="0" fontId="7" fillId="0" borderId="4" applyFill="0" applyBorder="0" applyProtection="0">
      <alignment horizontal="left" vertical="top"/>
    </xf>
    <xf numFmtId="0" fontId="30" fillId="0" borderId="0" applyNumberFormat="0" applyFill="0" applyBorder="0" applyAlignment="0" applyProtection="0"/>
    <xf numFmtId="0" fontId="4" fillId="0" borderId="0"/>
    <xf numFmtId="0" fontId="4" fillId="0" borderId="0"/>
    <xf numFmtId="0" fontId="31" fillId="0" borderId="0" applyFill="0" applyProtection="0"/>
    <xf numFmtId="0" fontId="4" fillId="0" borderId="0"/>
    <xf numFmtId="0" fontId="16" fillId="0" borderId="0" applyFill="0" applyBorder="0" applyAlignment="0" applyProtection="0"/>
    <xf numFmtId="0" fontId="7" fillId="0" borderId="0" applyFill="0" applyBorder="0" applyAlignment="0" applyProtection="0"/>
    <xf numFmtId="0" fontId="32" fillId="0" borderId="0"/>
    <xf numFmtId="9" fontId="1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9" fillId="0" borderId="0" applyBorder="0"/>
    <xf numFmtId="165" fontId="3" fillId="0" borderId="0" applyFont="0" applyFill="0" applyBorder="0" applyAlignment="0" applyProtection="0"/>
    <xf numFmtId="0" fontId="7" fillId="0" borderId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7" fillId="0" borderId="0" applyFont="0" applyFill="0" applyBorder="0" applyAlignment="0" applyProtection="0"/>
    <xf numFmtId="178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79" fontId="48" fillId="0" borderId="0" applyFill="0" applyBorder="0">
      <alignment horizontal="right" vertical="top"/>
    </xf>
    <xf numFmtId="0" fontId="49" fillId="0" borderId="5">
      <alignment horizontal="right" wrapText="1"/>
    </xf>
    <xf numFmtId="0" fontId="49" fillId="0" borderId="5">
      <alignment horizontal="right" wrapText="1"/>
    </xf>
    <xf numFmtId="0" fontId="49" fillId="0" borderId="5">
      <alignment horizontal="right" wrapText="1"/>
    </xf>
    <xf numFmtId="0" fontId="47" fillId="0" borderId="0"/>
    <xf numFmtId="0" fontId="50" fillId="0" borderId="0"/>
    <xf numFmtId="0" fontId="46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6" fillId="0" borderId="0"/>
    <xf numFmtId="0" fontId="2" fillId="0" borderId="0"/>
    <xf numFmtId="0" fontId="47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46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7" fillId="0" borderId="0" applyFont="0" applyFill="0" applyBorder="0" applyAlignment="0" applyProtection="0"/>
    <xf numFmtId="180" fontId="46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46" fillId="0" borderId="0"/>
    <xf numFmtId="43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0" fillId="0" borderId="0">
      <alignment horizontal="center" vertical="center" wrapText="1"/>
    </xf>
    <xf numFmtId="0" fontId="70" fillId="0" borderId="0" applyNumberFormat="0" applyFill="0" applyBorder="0" applyAlignment="0" applyProtection="0"/>
    <xf numFmtId="0" fontId="1" fillId="0" borderId="0"/>
    <xf numFmtId="0" fontId="50" fillId="0" borderId="0">
      <alignment horizontal="center" vertical="center" wrapText="1"/>
    </xf>
    <xf numFmtId="0" fontId="1" fillId="0" borderId="0"/>
    <xf numFmtId="0" fontId="1" fillId="0" borderId="0"/>
    <xf numFmtId="0" fontId="50" fillId="0" borderId="0">
      <alignment horizontal="center" vertical="center" wrapText="1"/>
    </xf>
    <xf numFmtId="0" fontId="1" fillId="0" borderId="0"/>
    <xf numFmtId="0" fontId="1" fillId="0" borderId="0"/>
    <xf numFmtId="0" fontId="3" fillId="0" borderId="0"/>
    <xf numFmtId="0" fontId="7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2" fillId="0" borderId="0"/>
    <xf numFmtId="164" fontId="3" fillId="0" borderId="0" applyFont="0" applyFill="0" applyBorder="0" applyAlignment="0" applyProtection="0"/>
    <xf numFmtId="0" fontId="50" fillId="0" borderId="0">
      <alignment horizontal="center" vertical="center" wrapText="1"/>
    </xf>
    <xf numFmtId="164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0" borderId="0">
      <alignment horizontal="center" vertical="center" wrapText="1"/>
    </xf>
    <xf numFmtId="0" fontId="1" fillId="0" borderId="0"/>
    <xf numFmtId="0" fontId="3" fillId="0" borderId="0"/>
    <xf numFmtId="0" fontId="1" fillId="0" borderId="0"/>
    <xf numFmtId="0" fontId="1" fillId="0" borderId="0"/>
    <xf numFmtId="0" fontId="72" fillId="0" borderId="0" applyNumberFormat="0" applyFill="0" applyBorder="0" applyAlignment="0" applyProtection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4">
    <xf numFmtId="0" fontId="0" fillId="0" borderId="0" xfId="0"/>
    <xf numFmtId="0" fontId="6" fillId="0" borderId="0" xfId="0" applyFont="1"/>
    <xf numFmtId="0" fontId="0" fillId="0" borderId="0" xfId="0" applyNumberFormat="1" applyFont="1"/>
    <xf numFmtId="0" fontId="7" fillId="0" borderId="0" xfId="4" applyNumberFormat="1" applyFont="1"/>
    <xf numFmtId="0" fontId="7" fillId="0" borderId="0" xfId="5" applyNumberFormat="1" applyFont="1"/>
    <xf numFmtId="0" fontId="20" fillId="0" borderId="0" xfId="5" applyNumberFormat="1" applyFont="1"/>
    <xf numFmtId="0" fontId="8" fillId="0" borderId="0" xfId="5" applyNumberFormat="1" applyFont="1"/>
    <xf numFmtId="167" fontId="9" fillId="0" borderId="0" xfId="5" applyNumberFormat="1" applyFont="1"/>
    <xf numFmtId="167" fontId="9" fillId="0" borderId="0" xfId="5" applyNumberFormat="1" applyFont="1" applyFill="1"/>
    <xf numFmtId="0" fontId="7" fillId="0" borderId="0" xfId="5" applyNumberFormat="1" applyFont="1" applyFill="1"/>
    <xf numFmtId="0" fontId="7" fillId="0" borderId="0" xfId="5" applyNumberFormat="1" applyFont="1" applyAlignment="1">
      <alignment horizontal="left" indent="2"/>
    </xf>
    <xf numFmtId="10" fontId="7" fillId="0" borderId="0" xfId="5" applyNumberFormat="1" applyFont="1"/>
    <xf numFmtId="3" fontId="7" fillId="0" borderId="0" xfId="5" applyNumberFormat="1" applyFont="1"/>
    <xf numFmtId="0" fontId="8" fillId="0" borderId="0" xfId="5" applyNumberFormat="1" applyFont="1" applyFill="1"/>
    <xf numFmtId="167" fontId="12" fillId="0" borderId="0" xfId="5" applyNumberFormat="1" applyFont="1" applyFill="1"/>
    <xf numFmtId="167" fontId="8" fillId="0" borderId="0" xfId="5" applyNumberFormat="1" applyFont="1" applyFill="1"/>
    <xf numFmtId="167" fontId="9" fillId="3" borderId="0" xfId="5" applyNumberFormat="1" applyFont="1" applyFill="1"/>
    <xf numFmtId="167" fontId="18" fillId="0" borderId="0" xfId="5" applyNumberFormat="1" applyFont="1" applyFill="1"/>
    <xf numFmtId="169" fontId="7" fillId="0" borderId="0" xfId="5" applyNumberFormat="1" applyFont="1"/>
    <xf numFmtId="167" fontId="7" fillId="0" borderId="0" xfId="5" applyNumberFormat="1" applyFont="1"/>
    <xf numFmtId="167" fontId="7" fillId="0" borderId="0" xfId="5" applyNumberFormat="1" applyFont="1" applyFill="1"/>
    <xf numFmtId="167" fontId="13" fillId="0" borderId="0" xfId="5" applyNumberFormat="1" applyFont="1" applyFill="1"/>
    <xf numFmtId="167" fontId="9" fillId="0" borderId="0" xfId="5" applyNumberFormat="1" applyFont="1" applyFill="1" applyBorder="1" applyAlignment="1"/>
    <xf numFmtId="167" fontId="18" fillId="0" borderId="0" xfId="5" applyNumberFormat="1" applyFont="1"/>
    <xf numFmtId="166" fontId="8" fillId="0" borderId="0" xfId="5" applyNumberFormat="1" applyFont="1"/>
    <xf numFmtId="167" fontId="8" fillId="0" borderId="0" xfId="5" applyNumberFormat="1" applyFont="1"/>
    <xf numFmtId="166" fontId="7" fillId="0" borderId="0" xfId="5" applyNumberFormat="1" applyFont="1"/>
    <xf numFmtId="0" fontId="7" fillId="0" borderId="0" xfId="5" applyNumberFormat="1" applyFont="1" applyFill="1" applyAlignment="1">
      <alignment horizontal="left" indent="2"/>
    </xf>
    <xf numFmtId="167" fontId="9" fillId="0" borderId="0" xfId="5" applyNumberFormat="1" applyFont="1" applyFill="1" applyBorder="1"/>
    <xf numFmtId="167" fontId="18" fillId="0" borderId="0" xfId="5" applyNumberFormat="1" applyFont="1" applyFill="1" applyBorder="1"/>
    <xf numFmtId="0" fontId="7" fillId="0" borderId="0" xfId="5" applyNumberFormat="1" applyFont="1" applyBorder="1"/>
    <xf numFmtId="167" fontId="13" fillId="0" borderId="0" xfId="5" applyNumberFormat="1" applyFont="1"/>
    <xf numFmtId="0" fontId="21" fillId="0" borderId="0" xfId="5" applyNumberFormat="1" applyFont="1"/>
    <xf numFmtId="172" fontId="21" fillId="0" borderId="0" xfId="5" applyNumberFormat="1" applyFont="1"/>
    <xf numFmtId="169" fontId="21" fillId="0" borderId="0" xfId="5" applyNumberFormat="1" applyFont="1"/>
    <xf numFmtId="166" fontId="7" fillId="0" borderId="0" xfId="5" applyNumberFormat="1" applyFont="1" applyFill="1"/>
    <xf numFmtId="170" fontId="9" fillId="0" borderId="0" xfId="5" applyNumberFormat="1" applyFont="1" applyFill="1"/>
    <xf numFmtId="166" fontId="9" fillId="0" borderId="0" xfId="5" applyNumberFormat="1" applyFont="1" applyFill="1"/>
    <xf numFmtId="9" fontId="22" fillId="0" borderId="0" xfId="4" applyFont="1"/>
    <xf numFmtId="9" fontId="7" fillId="0" borderId="0" xfId="4" applyFont="1"/>
    <xf numFmtId="173" fontId="7" fillId="0" borderId="0" xfId="5" applyNumberFormat="1" applyFont="1"/>
    <xf numFmtId="0" fontId="14" fillId="2" borderId="0" xfId="5" applyNumberFormat="1" applyFont="1" applyFill="1"/>
    <xf numFmtId="0" fontId="14" fillId="0" borderId="0" xfId="5" applyNumberFormat="1" applyFont="1" applyFill="1"/>
    <xf numFmtId="0" fontId="7" fillId="0" borderId="0" xfId="5" applyNumberFormat="1" applyFont="1" applyFill="1" applyBorder="1"/>
    <xf numFmtId="0" fontId="21" fillId="0" borderId="0" xfId="5" applyNumberFormat="1" applyFont="1" applyFill="1"/>
    <xf numFmtId="9" fontId="7" fillId="0" borderId="0" xfId="4" applyFont="1" applyFill="1"/>
    <xf numFmtId="9" fontId="22" fillId="0" borderId="0" xfId="4" applyFont="1" applyFill="1"/>
    <xf numFmtId="0" fontId="22" fillId="0" borderId="0" xfId="5" applyNumberFormat="1" applyFont="1" applyFill="1"/>
    <xf numFmtId="0" fontId="15" fillId="0" borderId="0" xfId="5" applyNumberFormat="1" applyFont="1"/>
    <xf numFmtId="0" fontId="15" fillId="0" borderId="0" xfId="5" applyNumberFormat="1" applyFont="1" applyFill="1"/>
    <xf numFmtId="169" fontId="15" fillId="0" borderId="0" xfId="5" applyNumberFormat="1" applyFont="1" applyFill="1"/>
    <xf numFmtId="0" fontId="26" fillId="0" borderId="0" xfId="5" applyNumberFormat="1" applyFont="1" applyFill="1"/>
    <xf numFmtId="0" fontId="26" fillId="0" borderId="0" xfId="4" applyNumberFormat="1" applyFont="1" applyFill="1"/>
    <xf numFmtId="0" fontId="25" fillId="0" borderId="1" xfId="5" applyNumberFormat="1" applyFont="1" applyFill="1" applyBorder="1"/>
    <xf numFmtId="0" fontId="24" fillId="0" borderId="1" xfId="5" applyNumberFormat="1" applyFont="1" applyFill="1" applyBorder="1" applyAlignment="1">
      <alignment horizontal="center"/>
    </xf>
    <xf numFmtId="0" fontId="27" fillId="0" borderId="0" xfId="4" applyNumberFormat="1" applyFont="1"/>
    <xf numFmtId="0" fontId="27" fillId="0" borderId="0" xfId="5" applyNumberFormat="1" applyFont="1"/>
    <xf numFmtId="0" fontId="27" fillId="0" borderId="0" xfId="5" applyNumberFormat="1" applyFont="1" applyFill="1"/>
    <xf numFmtId="171" fontId="27" fillId="0" borderId="0" xfId="5" applyNumberFormat="1" applyFont="1" applyAlignment="1">
      <alignment horizontal="center"/>
    </xf>
    <xf numFmtId="0" fontId="28" fillId="2" borderId="0" xfId="5" applyNumberFormat="1" applyFont="1" applyFill="1"/>
    <xf numFmtId="0" fontId="29" fillId="2" borderId="0" xfId="5" applyNumberFormat="1" applyFont="1" applyFill="1"/>
    <xf numFmtId="0" fontId="20" fillId="0" borderId="0" xfId="5" applyNumberFormat="1" applyFont="1" applyFill="1"/>
    <xf numFmtId="171" fontId="0" fillId="0" borderId="0" xfId="0" applyNumberFormat="1" applyFill="1"/>
    <xf numFmtId="167" fontId="8" fillId="0" borderId="0" xfId="5" applyNumberFormat="1" applyFont="1" applyFill="1" applyBorder="1"/>
    <xf numFmtId="167" fontId="18" fillId="0" borderId="0" xfId="5" applyNumberFormat="1" applyFont="1" applyFill="1" applyBorder="1" applyAlignment="1"/>
    <xf numFmtId="167" fontId="9" fillId="0" borderId="1" xfId="5" applyNumberFormat="1" applyFont="1" applyFill="1" applyBorder="1"/>
    <xf numFmtId="0" fontId="33" fillId="0" borderId="0" xfId="5" applyNumberFormat="1" applyFont="1" applyFill="1"/>
    <xf numFmtId="167" fontId="15" fillId="0" borderId="0" xfId="5" applyNumberFormat="1" applyFont="1"/>
    <xf numFmtId="0" fontId="5" fillId="0" borderId="0" xfId="5" applyNumberFormat="1" applyFont="1"/>
    <xf numFmtId="0" fontId="24" fillId="0" borderId="2" xfId="5" applyNumberFormat="1" applyFont="1" applyFill="1" applyBorder="1" applyAlignment="1">
      <alignment horizontal="center"/>
    </xf>
    <xf numFmtId="0" fontId="33" fillId="0" borderId="0" xfId="5" applyNumberFormat="1" applyFont="1"/>
    <xf numFmtId="0" fontId="34" fillId="0" borderId="0" xfId="5" applyNumberFormat="1" applyFont="1"/>
    <xf numFmtId="174" fontId="8" fillId="0" borderId="0" xfId="5" applyNumberFormat="1" applyFont="1"/>
    <xf numFmtId="167" fontId="9" fillId="5" borderId="0" xfId="5" applyNumberFormat="1" applyFont="1" applyFill="1"/>
    <xf numFmtId="0" fontId="7" fillId="0" borderId="1" xfId="5" applyNumberFormat="1" applyFont="1" applyBorder="1"/>
    <xf numFmtId="167" fontId="35" fillId="0" borderId="0" xfId="5" applyNumberFormat="1" applyFont="1" applyFill="1"/>
    <xf numFmtId="9" fontId="21" fillId="0" borderId="0" xfId="18" applyFont="1" applyFill="1"/>
    <xf numFmtId="167" fontId="12" fillId="5" borderId="0" xfId="5" applyNumberFormat="1" applyFont="1" applyFill="1"/>
    <xf numFmtId="0" fontId="8" fillId="0" borderId="2" xfId="5" applyNumberFormat="1" applyFont="1" applyBorder="1"/>
    <xf numFmtId="0" fontId="7" fillId="0" borderId="2" xfId="5" applyNumberFormat="1" applyFont="1" applyBorder="1"/>
    <xf numFmtId="166" fontId="7" fillId="0" borderId="2" xfId="5" applyNumberFormat="1" applyFont="1" applyBorder="1"/>
    <xf numFmtId="166" fontId="7" fillId="0" borderId="2" xfId="5" applyNumberFormat="1" applyFont="1" applyFill="1" applyBorder="1"/>
    <xf numFmtId="167" fontId="12" fillId="0" borderId="2" xfId="5" applyNumberFormat="1" applyFont="1" applyFill="1" applyBorder="1"/>
    <xf numFmtId="3" fontId="7" fillId="0" borderId="0" xfId="5" applyNumberFormat="1" applyFont="1" applyFill="1"/>
    <xf numFmtId="3" fontId="21" fillId="0" borderId="0" xfId="5" applyNumberFormat="1" applyFont="1" applyFill="1"/>
    <xf numFmtId="0" fontId="36" fillId="0" borderId="0" xfId="5" applyNumberFormat="1" applyFont="1" applyFill="1"/>
    <xf numFmtId="0" fontId="36" fillId="0" borderId="1" xfId="5" applyNumberFormat="1" applyFont="1" applyFill="1" applyBorder="1"/>
    <xf numFmtId="3" fontId="36" fillId="0" borderId="0" xfId="5" applyNumberFormat="1" applyFont="1" applyFill="1"/>
    <xf numFmtId="0" fontId="36" fillId="0" borderId="0" xfId="5" applyNumberFormat="1" applyFont="1" applyFill="1" applyBorder="1"/>
    <xf numFmtId="3" fontId="21" fillId="0" borderId="3" xfId="5" applyNumberFormat="1" applyFont="1" applyFill="1" applyBorder="1"/>
    <xf numFmtId="3" fontId="7" fillId="0" borderId="3" xfId="5" applyNumberFormat="1" applyFont="1" applyFill="1" applyBorder="1"/>
    <xf numFmtId="3" fontId="36" fillId="0" borderId="0" xfId="5" applyNumberFormat="1" applyFont="1" applyFill="1" applyBorder="1"/>
    <xf numFmtId="166" fontId="7" fillId="0" borderId="0" xfId="5" applyNumberFormat="1" applyFont="1" applyFill="1" applyBorder="1"/>
    <xf numFmtId="167" fontId="18" fillId="0" borderId="1" xfId="5" applyNumberFormat="1" applyFont="1" applyFill="1" applyBorder="1"/>
    <xf numFmtId="0" fontId="7" fillId="0" borderId="0" xfId="5" applyNumberFormat="1" applyFont="1" applyFill="1" applyAlignment="1">
      <alignment horizontal="right"/>
    </xf>
    <xf numFmtId="0" fontId="37" fillId="0" borderId="0" xfId="0" applyFont="1"/>
    <xf numFmtId="0" fontId="0" fillId="0" borderId="0" xfId="0" applyAlignment="1">
      <alignment horizontal="left" indent="1"/>
    </xf>
    <xf numFmtId="0" fontId="0" fillId="0" borderId="0" xfId="0" applyNumberFormat="1" applyFont="1" applyAlignment="1">
      <alignment horizontal="left" indent="1"/>
    </xf>
    <xf numFmtId="0" fontId="37" fillId="0" borderId="1" xfId="0" applyFont="1" applyBorder="1"/>
    <xf numFmtId="167" fontId="7" fillId="0" borderId="1" xfId="5" applyNumberFormat="1" applyFont="1" applyBorder="1"/>
    <xf numFmtId="167" fontId="7" fillId="0" borderId="1" xfId="5" applyNumberFormat="1" applyFont="1" applyFill="1" applyBorder="1"/>
    <xf numFmtId="0" fontId="7" fillId="0" borderId="1" xfId="5" applyNumberFormat="1" applyFont="1" applyFill="1" applyBorder="1"/>
    <xf numFmtId="0" fontId="7" fillId="0" borderId="1" xfId="5" applyNumberFormat="1" applyFont="1" applyFill="1" applyBorder="1" applyAlignment="1">
      <alignment horizontal="right"/>
    </xf>
    <xf numFmtId="0" fontId="37" fillId="0" borderId="0" xfId="0" applyFont="1" applyFill="1"/>
    <xf numFmtId="2" fontId="7" fillId="0" borderId="0" xfId="5" applyNumberFormat="1" applyFont="1"/>
    <xf numFmtId="0" fontId="38" fillId="0" borderId="0" xfId="5" applyNumberFormat="1" applyFont="1"/>
    <xf numFmtId="167" fontId="40" fillId="0" borderId="0" xfId="5" applyNumberFormat="1" applyFont="1" applyFill="1"/>
    <xf numFmtId="0" fontId="36" fillId="0" borderId="0" xfId="5" applyNumberFormat="1" applyFont="1"/>
    <xf numFmtId="168" fontId="21" fillId="0" borderId="0" xfId="5" applyNumberFormat="1" applyFont="1"/>
    <xf numFmtId="166" fontId="21" fillId="0" borderId="0" xfId="5" applyNumberFormat="1" applyFont="1" applyFill="1"/>
    <xf numFmtId="3" fontId="40" fillId="0" borderId="0" xfId="5" applyNumberFormat="1" applyFont="1" applyFill="1"/>
    <xf numFmtId="174" fontId="36" fillId="0" borderId="0" xfId="5" applyNumberFormat="1" applyFont="1"/>
    <xf numFmtId="0" fontId="8" fillId="6" borderId="0" xfId="5" applyNumberFormat="1" applyFont="1" applyFill="1"/>
    <xf numFmtId="3" fontId="7" fillId="6" borderId="0" xfId="5" applyNumberFormat="1" applyFont="1" applyFill="1"/>
    <xf numFmtId="0" fontId="21" fillId="0" borderId="0" xfId="5" applyNumberFormat="1" applyFont="1" applyAlignment="1">
      <alignment horizontal="left" indent="2"/>
    </xf>
    <xf numFmtId="167" fontId="7" fillId="0" borderId="0" xfId="5" applyNumberFormat="1" applyFont="1" applyFill="1" applyBorder="1"/>
    <xf numFmtId="0" fontId="8" fillId="0" borderId="0" xfId="5" applyNumberFormat="1" applyFont="1" applyFill="1" applyBorder="1"/>
    <xf numFmtId="0" fontId="21" fillId="0" borderId="0" xfId="5" applyNumberFormat="1" applyFont="1" applyFill="1" applyAlignment="1">
      <alignment horizontal="left" indent="1"/>
    </xf>
    <xf numFmtId="9" fontId="7" fillId="0" borderId="0" xfId="18" applyFont="1" applyFill="1"/>
    <xf numFmtId="1" fontId="24" fillId="0" borderId="1" xfId="5" applyNumberFormat="1" applyFont="1" applyFill="1" applyBorder="1" applyAlignment="1">
      <alignment horizontal="center"/>
    </xf>
    <xf numFmtId="2" fontId="21" fillId="0" borderId="0" xfId="5" applyNumberFormat="1" applyFont="1" applyAlignment="1">
      <alignment horizontal="left" indent="1"/>
    </xf>
    <xf numFmtId="173" fontId="7" fillId="0" borderId="0" xfId="5" applyNumberFormat="1" applyFont="1" applyFill="1"/>
    <xf numFmtId="167" fontId="37" fillId="0" borderId="0" xfId="5" applyNumberFormat="1" applyFont="1" applyFill="1"/>
    <xf numFmtId="167" fontId="7" fillId="0" borderId="0" xfId="5" applyNumberFormat="1" applyFont="1" applyFill="1" applyAlignment="1">
      <alignment horizontal="right"/>
    </xf>
    <xf numFmtId="3" fontId="37" fillId="6" borderId="0" xfId="5" applyNumberFormat="1" applyFont="1" applyFill="1"/>
    <xf numFmtId="167" fontId="43" fillId="0" borderId="0" xfId="5" applyNumberFormat="1" applyFont="1" applyFill="1"/>
    <xf numFmtId="9" fontId="7" fillId="0" borderId="0" xfId="18" applyFont="1"/>
    <xf numFmtId="0" fontId="44" fillId="0" borderId="0" xfId="5" applyNumberFormat="1" applyFont="1"/>
    <xf numFmtId="0" fontId="45" fillId="0" borderId="0" xfId="5" applyNumberFormat="1" applyFont="1" applyBorder="1"/>
    <xf numFmtId="174" fontId="44" fillId="0" borderId="0" xfId="18" applyNumberFormat="1" applyFont="1"/>
    <xf numFmtId="9" fontId="7" fillId="0" borderId="0" xfId="5" applyNumberFormat="1" applyFont="1"/>
    <xf numFmtId="167" fontId="7" fillId="7" borderId="0" xfId="5" applyNumberFormat="1" applyFont="1" applyFill="1"/>
    <xf numFmtId="1" fontId="7" fillId="0" borderId="0" xfId="5" applyNumberFormat="1" applyFont="1"/>
    <xf numFmtId="0" fontId="21" fillId="0" borderId="0" xfId="5" applyNumberFormat="1" applyFont="1" applyFill="1" applyBorder="1"/>
    <xf numFmtId="9" fontId="8" fillId="0" borderId="0" xfId="18" applyFont="1"/>
    <xf numFmtId="174" fontId="7" fillId="0" borderId="0" xfId="18" applyNumberFormat="1" applyFont="1"/>
    <xf numFmtId="174" fontId="7" fillId="0" borderId="0" xfId="18" applyNumberFormat="1" applyFont="1" applyFill="1"/>
    <xf numFmtId="166" fontId="36" fillId="0" borderId="0" xfId="5" applyNumberFormat="1" applyFont="1" applyFill="1"/>
    <xf numFmtId="166" fontId="40" fillId="0" borderId="0" xfId="5" applyNumberFormat="1" applyFont="1" applyFill="1"/>
    <xf numFmtId="172" fontId="21" fillId="0" borderId="0" xfId="5" applyNumberFormat="1" applyFont="1" applyFill="1"/>
    <xf numFmtId="167" fontId="18" fillId="8" borderId="0" xfId="5" applyNumberFormat="1" applyFont="1" applyFill="1"/>
    <xf numFmtId="3" fontId="7" fillId="0" borderId="0" xfId="5" applyNumberFormat="1" applyFont="1" applyBorder="1"/>
    <xf numFmtId="0" fontId="8" fillId="0" borderId="0" xfId="5" applyNumberFormat="1" applyFont="1" applyBorder="1"/>
    <xf numFmtId="10" fontId="8" fillId="0" borderId="0" xfId="5" applyNumberFormat="1" applyFont="1" applyBorder="1"/>
    <xf numFmtId="3" fontId="8" fillId="0" borderId="0" xfId="5" applyNumberFormat="1" applyFont="1" applyBorder="1"/>
    <xf numFmtId="9" fontId="8" fillId="0" borderId="0" xfId="5" applyNumberFormat="1" applyFont="1"/>
    <xf numFmtId="0" fontId="44" fillId="0" borderId="0" xfId="5" applyNumberFormat="1" applyFont="1" applyFill="1"/>
    <xf numFmtId="0" fontId="45" fillId="0" borderId="0" xfId="5" applyNumberFormat="1" applyFont="1" applyFill="1"/>
    <xf numFmtId="167" fontId="44" fillId="0" borderId="0" xfId="5" applyNumberFormat="1" applyFont="1" applyFill="1"/>
    <xf numFmtId="0" fontId="45" fillId="0" borderId="0" xfId="5" applyNumberFormat="1" applyFont="1" applyFill="1" applyBorder="1"/>
    <xf numFmtId="9" fontId="44" fillId="0" borderId="0" xfId="18" applyFont="1" applyFill="1"/>
    <xf numFmtId="0" fontId="7" fillId="3" borderId="0" xfId="5" applyNumberFormat="1" applyFont="1" applyFill="1" applyAlignment="1">
      <alignment horizontal="left" indent="2"/>
    </xf>
    <xf numFmtId="9" fontId="7" fillId="0" borderId="0" xfId="18" applyNumberFormat="1" applyFont="1"/>
    <xf numFmtId="175" fontId="7" fillId="0" borderId="0" xfId="5" applyNumberFormat="1" applyFont="1" applyFill="1"/>
    <xf numFmtId="176" fontId="7" fillId="0" borderId="0" xfId="5" applyNumberFormat="1" applyFont="1"/>
    <xf numFmtId="167" fontId="7" fillId="0" borderId="0" xfId="5" applyNumberFormat="1" applyFont="1" applyBorder="1" applyAlignment="1">
      <alignment horizontal="right"/>
    </xf>
    <xf numFmtId="9" fontId="7" fillId="0" borderId="0" xfId="18" applyFont="1" applyFill="1" applyBorder="1"/>
    <xf numFmtId="171" fontId="7" fillId="0" borderId="0" xfId="5" applyNumberFormat="1" applyFont="1" applyFill="1"/>
    <xf numFmtId="166" fontId="33" fillId="0" borderId="0" xfId="5" applyNumberFormat="1" applyFont="1"/>
    <xf numFmtId="9" fontId="33" fillId="0" borderId="0" xfId="18" applyFont="1" applyFill="1"/>
    <xf numFmtId="171" fontId="8" fillId="0" borderId="0" xfId="5" applyNumberFormat="1" applyFont="1" applyFill="1"/>
    <xf numFmtId="174" fontId="7" fillId="0" borderId="0" xfId="5" applyNumberFormat="1" applyFont="1" applyFill="1"/>
    <xf numFmtId="174" fontId="7" fillId="7" borderId="0" xfId="18" applyNumberFormat="1" applyFont="1" applyFill="1"/>
    <xf numFmtId="0" fontId="7" fillId="0" borderId="0" xfId="5" applyNumberFormat="1" applyFont="1" applyFill="1" applyBorder="1" applyAlignment="1">
      <alignment horizontal="left" indent="2"/>
    </xf>
    <xf numFmtId="0" fontId="7" fillId="0" borderId="0" xfId="5" applyNumberFormat="1" applyFont="1" applyFill="1" applyAlignment="1">
      <alignment horizontal="left" indent="1"/>
    </xf>
    <xf numFmtId="0" fontId="28" fillId="0" borderId="0" xfId="5" applyNumberFormat="1" applyFont="1" applyFill="1"/>
    <xf numFmtId="0" fontId="52" fillId="2" borderId="0" xfId="5" applyFont="1" applyFill="1"/>
    <xf numFmtId="0" fontId="53" fillId="0" borderId="0" xfId="25" applyFont="1"/>
    <xf numFmtId="0" fontId="54" fillId="0" borderId="1" xfId="5" applyFont="1" applyFill="1" applyBorder="1"/>
    <xf numFmtId="0" fontId="54" fillId="0" borderId="1" xfId="5" applyFont="1" applyFill="1" applyBorder="1" applyAlignment="1">
      <alignment horizontal="center" vertical="center"/>
    </xf>
    <xf numFmtId="0" fontId="54" fillId="0" borderId="1" xfId="5" applyFont="1" applyFill="1" applyBorder="1" applyAlignment="1">
      <alignment horizontal="center"/>
    </xf>
    <xf numFmtId="0" fontId="55" fillId="0" borderId="1" xfId="5" applyFont="1" applyFill="1" applyBorder="1" applyAlignment="1">
      <alignment horizontal="center"/>
    </xf>
    <xf numFmtId="0" fontId="55" fillId="0" borderId="1" xfId="5" applyFont="1" applyFill="1" applyBorder="1" applyAlignment="1">
      <alignment horizontal="center" vertical="center"/>
    </xf>
    <xf numFmtId="0" fontId="56" fillId="0" borderId="0" xfId="5" applyFont="1"/>
    <xf numFmtId="171" fontId="56" fillId="0" borderId="0" xfId="5" applyNumberFormat="1" applyFont="1" applyAlignment="1">
      <alignment horizontal="center"/>
    </xf>
    <xf numFmtId="174" fontId="53" fillId="0" borderId="0" xfId="25" applyNumberFormat="1" applyFont="1"/>
    <xf numFmtId="0" fontId="37" fillId="9" borderId="0" xfId="5" applyFont="1" applyFill="1"/>
    <xf numFmtId="174" fontId="37" fillId="9" borderId="0" xfId="27" applyNumberFormat="1" applyFont="1" applyFill="1"/>
    <xf numFmtId="0" fontId="53" fillId="0" borderId="0" xfId="25" applyFont="1" applyFill="1"/>
    <xf numFmtId="3" fontId="37" fillId="9" borderId="0" xfId="5" applyNumberFormat="1" applyFont="1" applyFill="1"/>
    <xf numFmtId="3" fontId="57" fillId="0" borderId="0" xfId="25" applyNumberFormat="1" applyFont="1" applyAlignment="1">
      <alignment vertical="center"/>
    </xf>
    <xf numFmtId="0" fontId="44" fillId="0" borderId="0" xfId="25" applyFont="1"/>
    <xf numFmtId="0" fontId="44" fillId="0" borderId="0" xfId="25" applyFont="1" applyFill="1"/>
    <xf numFmtId="174" fontId="44" fillId="0" borderId="0" xfId="27" applyNumberFormat="1" applyFont="1"/>
    <xf numFmtId="9" fontId="44" fillId="0" borderId="0" xfId="25" applyNumberFormat="1" applyFont="1"/>
    <xf numFmtId="3" fontId="44" fillId="0" borderId="0" xfId="25" applyNumberFormat="1" applyFont="1"/>
    <xf numFmtId="3" fontId="44" fillId="0" borderId="0" xfId="25" applyNumberFormat="1" applyFont="1" applyFill="1"/>
    <xf numFmtId="0" fontId="44" fillId="7" borderId="0" xfId="25" applyFont="1" applyFill="1" applyAlignment="1">
      <alignment horizontal="left" indent="1"/>
    </xf>
    <xf numFmtId="3" fontId="44" fillId="7" borderId="0" xfId="25" applyNumberFormat="1" applyFont="1" applyFill="1"/>
    <xf numFmtId="0" fontId="28" fillId="2" borderId="0" xfId="5" applyFont="1" applyFill="1"/>
    <xf numFmtId="0" fontId="25" fillId="0" borderId="1" xfId="5" applyFont="1" applyFill="1" applyBorder="1"/>
    <xf numFmtId="0" fontId="25" fillId="0" borderId="1" xfId="5" applyFont="1" applyFill="1" applyBorder="1" applyAlignment="1">
      <alignment horizontal="center" vertical="center"/>
    </xf>
    <xf numFmtId="0" fontId="25" fillId="0" borderId="1" xfId="5" applyFont="1" applyFill="1" applyBorder="1" applyAlignment="1">
      <alignment horizontal="center"/>
    </xf>
    <xf numFmtId="0" fontId="24" fillId="0" borderId="1" xfId="5" applyFont="1" applyFill="1" applyBorder="1" applyAlignment="1">
      <alignment horizontal="center"/>
    </xf>
    <xf numFmtId="14" fontId="24" fillId="0" borderId="1" xfId="5" applyNumberFormat="1" applyFont="1" applyFill="1" applyBorder="1" applyAlignment="1">
      <alignment horizontal="center" vertical="center"/>
    </xf>
    <xf numFmtId="166" fontId="37" fillId="9" borderId="0" xfId="5" applyNumberFormat="1" applyFont="1" applyFill="1"/>
    <xf numFmtId="0" fontId="0" fillId="0" borderId="0" xfId="0" applyFill="1"/>
    <xf numFmtId="0" fontId="7" fillId="0" borderId="0" xfId="5" applyFill="1" applyAlignment="1">
      <alignment horizontal="left" indent="1"/>
    </xf>
    <xf numFmtId="0" fontId="58" fillId="0" borderId="0" xfId="0" applyFont="1"/>
    <xf numFmtId="0" fontId="45" fillId="7" borderId="0" xfId="5" applyFont="1" applyFill="1" applyAlignment="1">
      <alignment horizontal="left" indent="2"/>
    </xf>
    <xf numFmtId="174" fontId="45" fillId="7" borderId="0" xfId="18" applyNumberFormat="1" applyFont="1" applyFill="1"/>
    <xf numFmtId="0" fontId="37" fillId="0" borderId="0" xfId="5" applyFont="1" applyFill="1"/>
    <xf numFmtId="174" fontId="37" fillId="0" borderId="0" xfId="18" applyNumberFormat="1" applyFont="1"/>
    <xf numFmtId="174" fontId="0" fillId="0" borderId="0" xfId="18" applyNumberFormat="1" applyFont="1"/>
    <xf numFmtId="0" fontId="45" fillId="0" borderId="0" xfId="5" applyFont="1" applyFill="1" applyAlignment="1">
      <alignment horizontal="left" indent="2"/>
    </xf>
    <xf numFmtId="174" fontId="45" fillId="0" borderId="0" xfId="18" applyNumberFormat="1" applyFont="1"/>
    <xf numFmtId="0" fontId="59" fillId="0" borderId="0" xfId="0" applyFont="1"/>
    <xf numFmtId="9" fontId="37" fillId="0" borderId="0" xfId="18" applyNumberFormat="1" applyFont="1"/>
    <xf numFmtId="167" fontId="45" fillId="7" borderId="0" xfId="5" applyNumberFormat="1" applyFont="1" applyFill="1"/>
    <xf numFmtId="167" fontId="37" fillId="0" borderId="0" xfId="0" applyNumberFormat="1" applyFont="1"/>
    <xf numFmtId="0" fontId="7" fillId="0" borderId="0" xfId="5" applyFill="1" applyAlignment="1">
      <alignment horizontal="left" wrapText="1" indent="1"/>
    </xf>
    <xf numFmtId="0" fontId="8" fillId="0" borderId="0" xfId="5" applyFont="1" applyFill="1" applyBorder="1"/>
    <xf numFmtId="0" fontId="8" fillId="0" borderId="0" xfId="5" applyFont="1" applyFill="1"/>
    <xf numFmtId="167" fontId="60" fillId="0" borderId="0" xfId="5" applyNumberFormat="1" applyFont="1" applyFill="1"/>
    <xf numFmtId="0" fontId="51" fillId="0" borderId="0" xfId="5" applyFont="1" applyFill="1"/>
    <xf numFmtId="167" fontId="61" fillId="0" borderId="0" xfId="5" applyNumberFormat="1" applyFont="1" applyFill="1"/>
    <xf numFmtId="0" fontId="24" fillId="0" borderId="1" xfId="5" applyFont="1" applyFill="1" applyBorder="1" applyAlignment="1">
      <alignment horizontal="center" vertical="center"/>
    </xf>
    <xf numFmtId="0" fontId="62" fillId="0" borderId="0" xfId="5" applyFont="1"/>
    <xf numFmtId="171" fontId="62" fillId="0" borderId="0" xfId="5" applyNumberFormat="1" applyFont="1" applyAlignment="1">
      <alignment horizontal="center"/>
    </xf>
    <xf numFmtId="174" fontId="8" fillId="9" borderId="0" xfId="18" applyNumberFormat="1" applyFont="1" applyFill="1"/>
    <xf numFmtId="0" fontId="7" fillId="0" borderId="0" xfId="5" applyFill="1"/>
    <xf numFmtId="167" fontId="45" fillId="0" borderId="0" xfId="0" applyNumberFormat="1" applyFont="1"/>
    <xf numFmtId="0" fontId="45" fillId="0" borderId="0" xfId="0" applyFont="1"/>
    <xf numFmtId="167" fontId="0" fillId="0" borderId="0" xfId="0" applyNumberFormat="1"/>
    <xf numFmtId="0" fontId="44" fillId="0" borderId="0" xfId="25" applyFont="1" applyAlignment="1">
      <alignment horizontal="left" indent="1"/>
    </xf>
    <xf numFmtId="174" fontId="21" fillId="0" borderId="0" xfId="18" applyNumberFormat="1" applyFont="1" applyFill="1"/>
    <xf numFmtId="167" fontId="21" fillId="0" borderId="0" xfId="5" applyNumberFormat="1" applyFont="1" applyFill="1"/>
    <xf numFmtId="174" fontId="44" fillId="0" borderId="0" xfId="18" applyNumberFormat="1" applyFont="1" applyFill="1"/>
    <xf numFmtId="9" fontId="44" fillId="0" borderId="0" xfId="5" applyNumberFormat="1" applyFont="1" applyFill="1"/>
    <xf numFmtId="0" fontId="0" fillId="0" borderId="0" xfId="0" applyBorder="1"/>
    <xf numFmtId="0" fontId="59" fillId="0" borderId="0" xfId="0" applyFont="1" applyBorder="1"/>
    <xf numFmtId="0" fontId="37" fillId="0" borderId="0" xfId="0" applyFont="1" applyBorder="1"/>
    <xf numFmtId="0" fontId="45" fillId="0" borderId="0" xfId="0" applyFont="1" applyBorder="1"/>
    <xf numFmtId="0" fontId="0" fillId="0" borderId="0" xfId="0" applyFill="1" applyBorder="1"/>
    <xf numFmtId="0" fontId="45" fillId="7" borderId="0" xfId="25" applyFont="1" applyFill="1"/>
    <xf numFmtId="3" fontId="45" fillId="7" borderId="0" xfId="25" applyNumberFormat="1" applyFont="1" applyFill="1"/>
    <xf numFmtId="174" fontId="45" fillId="7" borderId="0" xfId="27" applyNumberFormat="1" applyFont="1" applyFill="1"/>
    <xf numFmtId="9" fontId="0" fillId="0" borderId="0" xfId="0" applyNumberFormat="1" applyFill="1"/>
    <xf numFmtId="167" fontId="7" fillId="0" borderId="0" xfId="5" applyNumberFormat="1" applyFont="1" applyBorder="1"/>
    <xf numFmtId="9" fontId="7" fillId="0" borderId="0" xfId="5" applyNumberFormat="1" applyFont="1" applyBorder="1"/>
    <xf numFmtId="9" fontId="45" fillId="7" borderId="0" xfId="18" applyNumberFormat="1" applyFont="1" applyFill="1"/>
    <xf numFmtId="9" fontId="37" fillId="9" borderId="0" xfId="27" applyNumberFormat="1" applyFont="1" applyFill="1"/>
    <xf numFmtId="9" fontId="44" fillId="0" borderId="0" xfId="18" applyFont="1"/>
    <xf numFmtId="9" fontId="9" fillId="0" borderId="0" xfId="18" applyFont="1" applyFill="1"/>
    <xf numFmtId="9" fontId="7" fillId="0" borderId="0" xfId="18" applyNumberFormat="1" applyFont="1" applyFill="1"/>
    <xf numFmtId="9" fontId="44" fillId="0" borderId="0" xfId="18" applyNumberFormat="1" applyFont="1"/>
    <xf numFmtId="9" fontId="7" fillId="7" borderId="0" xfId="18" applyNumberFormat="1" applyFont="1" applyFill="1"/>
    <xf numFmtId="9" fontId="0" fillId="0" borderId="0" xfId="18" applyFont="1"/>
    <xf numFmtId="167" fontId="63" fillId="0" borderId="0" xfId="5" applyNumberFormat="1" applyFont="1" applyFill="1"/>
    <xf numFmtId="167" fontId="63" fillId="0" borderId="1" xfId="5" applyNumberFormat="1" applyFont="1" applyFill="1" applyBorder="1"/>
    <xf numFmtId="3" fontId="53" fillId="0" borderId="0" xfId="25" applyNumberFormat="1" applyFont="1"/>
    <xf numFmtId="10" fontId="7" fillId="0" borderId="0" xfId="18" applyNumberFormat="1" applyFont="1" applyFill="1" applyBorder="1"/>
    <xf numFmtId="9" fontId="8" fillId="0" borderId="0" xfId="18" applyFont="1" applyFill="1"/>
    <xf numFmtId="0" fontId="37" fillId="0" borderId="0" xfId="5" applyNumberFormat="1" applyFont="1"/>
    <xf numFmtId="174" fontId="0" fillId="0" borderId="0" xfId="18" applyNumberFormat="1" applyFont="1" applyFill="1"/>
    <xf numFmtId="174" fontId="0" fillId="0" borderId="0" xfId="0" applyNumberFormat="1" applyFill="1"/>
    <xf numFmtId="181" fontId="7" fillId="0" borderId="0" xfId="5" applyNumberFormat="1" applyFont="1" applyFill="1"/>
    <xf numFmtId="9" fontId="0" fillId="0" borderId="0" xfId="18" applyFont="1" applyFill="1"/>
    <xf numFmtId="181" fontId="7" fillId="0" borderId="0" xfId="5" applyNumberFormat="1" applyFont="1"/>
    <xf numFmtId="10" fontId="44" fillId="0" borderId="0" xfId="25" applyNumberFormat="1" applyFont="1"/>
    <xf numFmtId="174" fontId="8" fillId="0" borderId="0" xfId="18" applyNumberFormat="1" applyFont="1" applyFill="1"/>
    <xf numFmtId="182" fontId="7" fillId="0" borderId="0" xfId="5" applyNumberFormat="1" applyFont="1" applyFill="1"/>
    <xf numFmtId="10" fontId="7" fillId="0" borderId="0" xfId="18" applyNumberFormat="1" applyFont="1" applyFill="1"/>
    <xf numFmtId="174" fontId="9" fillId="0" borderId="0" xfId="18" applyNumberFormat="1" applyFont="1" applyFill="1"/>
    <xf numFmtId="3" fontId="7" fillId="0" borderId="0" xfId="5" applyNumberFormat="1" applyFont="1" applyFill="1" applyBorder="1"/>
    <xf numFmtId="3" fontId="21" fillId="0" borderId="1" xfId="5" applyNumberFormat="1" applyFont="1" applyFill="1" applyBorder="1"/>
    <xf numFmtId="9" fontId="0" fillId="0" borderId="0" xfId="18" applyFont="1" applyFill="1" applyBorder="1"/>
    <xf numFmtId="9" fontId="21" fillId="0" borderId="0" xfId="18" applyNumberFormat="1" applyFont="1" applyFill="1"/>
    <xf numFmtId="0" fontId="7" fillId="0" borderId="0" xfId="0" applyFont="1"/>
    <xf numFmtId="0" fontId="64" fillId="0" borderId="0" xfId="0" applyFont="1" applyAlignment="1">
      <alignment horizontal="right" vertical="center" wrapText="1"/>
    </xf>
    <xf numFmtId="0" fontId="45" fillId="0" borderId="0" xfId="5" applyNumberFormat="1" applyFont="1" applyFill="1" applyAlignment="1">
      <alignment horizontal="left" indent="1"/>
    </xf>
    <xf numFmtId="3" fontId="45" fillId="0" borderId="0" xfId="25" applyNumberFormat="1" applyFont="1" applyFill="1"/>
    <xf numFmtId="0" fontId="0" fillId="0" borderId="0" xfId="0" applyFont="1"/>
    <xf numFmtId="9" fontId="53" fillId="0" borderId="0" xfId="18" applyFont="1"/>
    <xf numFmtId="169" fontId="21" fillId="0" borderId="0" xfId="5" applyNumberFormat="1" applyFont="1" applyFill="1"/>
    <xf numFmtId="0" fontId="59" fillId="0" borderId="0" xfId="25" applyFont="1"/>
    <xf numFmtId="167" fontId="9" fillId="10" borderId="0" xfId="5" applyNumberFormat="1" applyFont="1" applyFill="1"/>
    <xf numFmtId="0" fontId="7" fillId="0" borderId="0" xfId="5" applyNumberFormat="1" applyFont="1" applyFill="1" applyBorder="1" applyAlignment="1">
      <alignment horizontal="right"/>
    </xf>
    <xf numFmtId="0" fontId="8" fillId="0" borderId="0" xfId="5" applyNumberFormat="1" applyFont="1" applyFill="1" applyAlignment="1">
      <alignment vertical="center"/>
    </xf>
    <xf numFmtId="0" fontId="7" fillId="0" borderId="0" xfId="5" applyNumberFormat="1" applyFont="1" applyFill="1" applyAlignment="1">
      <alignment vertical="center" wrapText="1"/>
    </xf>
    <xf numFmtId="167" fontId="9" fillId="0" borderId="0" xfId="5" applyNumberFormat="1" applyFont="1" applyFill="1" applyAlignment="1">
      <alignment vertical="center"/>
    </xf>
    <xf numFmtId="0" fontId="44" fillId="0" borderId="0" xfId="5" applyNumberFormat="1" applyFont="1" applyFill="1" applyAlignment="1">
      <alignment vertical="center"/>
    </xf>
    <xf numFmtId="167" fontId="44" fillId="0" borderId="0" xfId="5" applyNumberFormat="1" applyFont="1" applyFill="1" applyAlignment="1">
      <alignment vertical="center"/>
    </xf>
    <xf numFmtId="9" fontId="8" fillId="0" borderId="0" xfId="5" applyNumberFormat="1" applyFont="1" applyFill="1" applyAlignment="1">
      <alignment vertical="center"/>
    </xf>
    <xf numFmtId="0" fontId="8" fillId="0" borderId="0" xfId="5" applyNumberFormat="1" applyFont="1" applyAlignment="1">
      <alignment vertical="center"/>
    </xf>
    <xf numFmtId="167" fontId="9" fillId="3" borderId="0" xfId="5" applyNumberFormat="1" applyFont="1" applyFill="1" applyBorder="1"/>
    <xf numFmtId="43" fontId="66" fillId="0" borderId="0" xfId="79" applyFont="1" applyFill="1"/>
    <xf numFmtId="0" fontId="66" fillId="0" borderId="0" xfId="25" applyFont="1"/>
    <xf numFmtId="167" fontId="67" fillId="0" borderId="0" xfId="5" applyNumberFormat="1" applyFont="1" applyFill="1"/>
    <xf numFmtId="174" fontId="53" fillId="0" borderId="0" xfId="18" applyNumberFormat="1" applyFont="1"/>
    <xf numFmtId="0" fontId="25" fillId="11" borderId="1" xfId="5" applyFont="1" applyFill="1" applyBorder="1" applyAlignment="1">
      <alignment horizontal="center" vertical="center"/>
    </xf>
    <xf numFmtId="0" fontId="37" fillId="0" borderId="0" xfId="5" applyNumberFormat="1" applyFont="1" applyFill="1"/>
    <xf numFmtId="43" fontId="66" fillId="0" borderId="0" xfId="79" applyFont="1"/>
    <xf numFmtId="43" fontId="68" fillId="0" borderId="0" xfId="79" applyFont="1"/>
    <xf numFmtId="43" fontId="59" fillId="0" borderId="0" xfId="79" applyFont="1"/>
    <xf numFmtId="174" fontId="37" fillId="0" borderId="0" xfId="18" applyNumberFormat="1" applyFont="1" applyFill="1"/>
    <xf numFmtId="9" fontId="37" fillId="0" borderId="0" xfId="18" applyFont="1"/>
    <xf numFmtId="184" fontId="7" fillId="0" borderId="0" xfId="79" applyNumberFormat="1" applyFont="1"/>
    <xf numFmtId="181" fontId="7" fillId="0" borderId="0" xfId="5" applyNumberFormat="1" applyFont="1" applyFill="1" applyBorder="1"/>
    <xf numFmtId="43" fontId="0" fillId="0" borderId="0" xfId="79" applyFont="1" applyFill="1"/>
    <xf numFmtId="174" fontId="44" fillId="0" borderId="0" xfId="27" applyNumberFormat="1" applyFont="1" applyFill="1"/>
    <xf numFmtId="167" fontId="9" fillId="7" borderId="0" xfId="5" applyNumberFormat="1" applyFont="1" applyFill="1"/>
    <xf numFmtId="43" fontId="69" fillId="0" borderId="0" xfId="79" applyFont="1" applyFill="1"/>
    <xf numFmtId="0" fontId="25" fillId="11" borderId="0" xfId="5" applyFont="1" applyFill="1" applyBorder="1" applyAlignment="1">
      <alignment horizontal="center" vertical="center"/>
    </xf>
    <xf numFmtId="167" fontId="45" fillId="0" borderId="0" xfId="5" applyNumberFormat="1" applyFont="1" applyFill="1"/>
    <xf numFmtId="9" fontId="58" fillId="0" borderId="0" xfId="0" applyNumberFormat="1" applyFont="1"/>
    <xf numFmtId="0" fontId="51" fillId="0" borderId="0" xfId="5" applyNumberFormat="1" applyFont="1" applyFill="1"/>
    <xf numFmtId="9" fontId="51" fillId="0" borderId="0" xfId="5" applyNumberFormat="1" applyFont="1"/>
    <xf numFmtId="0" fontId="51" fillId="0" borderId="0" xfId="5" applyNumberFormat="1" applyFont="1"/>
    <xf numFmtId="167" fontId="45" fillId="0" borderId="0" xfId="5" applyNumberFormat="1" applyFont="1"/>
    <xf numFmtId="167" fontId="9" fillId="12" borderId="0" xfId="5" applyNumberFormat="1" applyFont="1" applyFill="1"/>
    <xf numFmtId="174" fontId="7" fillId="0" borderId="0" xfId="5" applyNumberFormat="1" applyFont="1"/>
    <xf numFmtId="9" fontId="7" fillId="0" borderId="0" xfId="5" applyNumberFormat="1" applyFont="1" applyFill="1"/>
    <xf numFmtId="168" fontId="18" fillId="0" borderId="0" xfId="5" applyNumberFormat="1" applyFont="1" applyFill="1"/>
    <xf numFmtId="9" fontId="8" fillId="0" borderId="0" xfId="18" applyNumberFormat="1" applyFont="1"/>
    <xf numFmtId="9" fontId="8" fillId="0" borderId="0" xfId="5" applyNumberFormat="1" applyFont="1" applyFill="1"/>
    <xf numFmtId="9" fontId="51" fillId="0" borderId="0" xfId="18" applyFont="1"/>
    <xf numFmtId="9" fontId="65" fillId="0" borderId="0" xfId="18" applyFont="1" applyAlignment="1">
      <alignment horizontal="right" vertical="center" wrapText="1"/>
    </xf>
    <xf numFmtId="174" fontId="44" fillId="0" borderId="0" xfId="25" applyNumberFormat="1" applyFont="1"/>
    <xf numFmtId="183" fontId="7" fillId="0" borderId="0" xfId="79" applyNumberFormat="1" applyFont="1"/>
    <xf numFmtId="1" fontId="8" fillId="0" borderId="0" xfId="5" applyNumberFormat="1" applyFont="1" applyFill="1"/>
    <xf numFmtId="0" fontId="73" fillId="0" borderId="0" xfId="5" applyNumberFormat="1" applyFont="1" applyFill="1"/>
    <xf numFmtId="3" fontId="37" fillId="0" borderId="0" xfId="5" applyNumberFormat="1" applyFont="1" applyFill="1"/>
    <xf numFmtId="167" fontId="44" fillId="10" borderId="0" xfId="5" applyNumberFormat="1" applyFont="1" applyFill="1"/>
    <xf numFmtId="174" fontId="63" fillId="0" borderId="0" xfId="18" applyNumberFormat="1" applyFont="1" applyFill="1"/>
    <xf numFmtId="174" fontId="63" fillId="0" borderId="0" xfId="5" applyNumberFormat="1" applyFont="1" applyFill="1"/>
    <xf numFmtId="10" fontId="8" fillId="0" borderId="0" xfId="5" applyNumberFormat="1" applyFont="1" applyFill="1"/>
    <xf numFmtId="43" fontId="7" fillId="0" borderId="0" xfId="79" applyFont="1"/>
    <xf numFmtId="43" fontId="8" fillId="0" borderId="0" xfId="79" applyFont="1"/>
    <xf numFmtId="185" fontId="7" fillId="0" borderId="0" xfId="5" applyNumberFormat="1" applyFont="1" applyFill="1" applyAlignment="1">
      <alignment horizontal="left" vertical="center"/>
    </xf>
    <xf numFmtId="167" fontId="0" fillId="0" borderId="0" xfId="0" applyNumberFormat="1" applyFont="1"/>
    <xf numFmtId="9" fontId="7" fillId="10" borderId="6" xfId="0" applyNumberFormat="1" applyFont="1" applyFill="1" applyBorder="1"/>
    <xf numFmtId="0" fontId="7" fillId="0" borderId="0" xfId="5" applyFont="1" applyFill="1"/>
    <xf numFmtId="1" fontId="0" fillId="0" borderId="0" xfId="0" applyNumberFormat="1" applyFont="1"/>
    <xf numFmtId="0" fontId="21" fillId="0" borderId="0" xfId="5" applyFont="1" applyFill="1" applyAlignment="1">
      <alignment horizontal="left" indent="1"/>
    </xf>
    <xf numFmtId="185" fontId="21" fillId="0" borderId="0" xfId="5" applyNumberFormat="1" applyFont="1" applyFill="1" applyAlignment="1">
      <alignment horizontal="left" vertical="center"/>
    </xf>
    <xf numFmtId="1" fontId="76" fillId="0" borderId="0" xfId="0" applyNumberFormat="1" applyFont="1"/>
    <xf numFmtId="167" fontId="76" fillId="0" borderId="0" xfId="0" applyNumberFormat="1" applyFont="1"/>
    <xf numFmtId="0" fontId="76" fillId="0" borderId="0" xfId="0" applyFont="1"/>
    <xf numFmtId="186" fontId="7" fillId="0" borderId="0" xfId="5" applyNumberFormat="1" applyFont="1" applyFill="1" applyAlignment="1">
      <alignment horizontal="left" vertical="center"/>
    </xf>
    <xf numFmtId="167" fontId="5" fillId="0" borderId="0" xfId="0" applyNumberFormat="1" applyFont="1"/>
    <xf numFmtId="9" fontId="8" fillId="10" borderId="6" xfId="0" applyNumberFormat="1" applyFont="1" applyFill="1" applyBorder="1"/>
    <xf numFmtId="0" fontId="5" fillId="0" borderId="0" xfId="0" applyFont="1"/>
    <xf numFmtId="0" fontId="25" fillId="13" borderId="1" xfId="5" applyFont="1" applyFill="1" applyBorder="1" applyAlignment="1">
      <alignment horizontal="center" vertical="center"/>
    </xf>
    <xf numFmtId="0" fontId="24" fillId="13" borderId="1" xfId="5" applyFont="1" applyFill="1" applyBorder="1" applyAlignment="1">
      <alignment horizontal="center" vertical="center"/>
    </xf>
    <xf numFmtId="185" fontId="7" fillId="13" borderId="0" xfId="5" applyNumberFormat="1" applyFont="1" applyFill="1" applyAlignment="1">
      <alignment horizontal="left" vertical="center"/>
    </xf>
    <xf numFmtId="186" fontId="7" fillId="13" borderId="0" xfId="5" applyNumberFormat="1" applyFont="1" applyFill="1" applyAlignment="1">
      <alignment horizontal="left" vertical="center"/>
    </xf>
    <xf numFmtId="9" fontId="8" fillId="13" borderId="0" xfId="18" applyFont="1" applyFill="1"/>
    <xf numFmtId="0" fontId="7" fillId="0" borderId="1" xfId="5" applyNumberFormat="1" applyFont="1" applyBorder="1" applyAlignment="1">
      <alignment horizontal="left"/>
    </xf>
    <xf numFmtId="166" fontId="7" fillId="0" borderId="0" xfId="5" applyNumberFormat="1" applyFont="1" applyBorder="1"/>
    <xf numFmtId="184" fontId="8" fillId="0" borderId="0" xfId="79" applyNumberFormat="1" applyFont="1"/>
    <xf numFmtId="174" fontId="0" fillId="0" borderId="0" xfId="0" applyNumberFormat="1"/>
    <xf numFmtId="10" fontId="58" fillId="0" borderId="0" xfId="0" applyNumberFormat="1" applyFont="1"/>
    <xf numFmtId="43" fontId="44" fillId="0" borderId="0" xfId="79" applyFont="1"/>
  </cellXfs>
  <cellStyles count="124">
    <cellStyle name="Calc" xfId="2"/>
    <cellStyle name="Comma [0] 2" xfId="22"/>
    <cellStyle name="Comma 2" xfId="28"/>
    <cellStyle name="Comma 2 2" xfId="29"/>
    <cellStyle name="Comma 2 2 2" xfId="30"/>
    <cellStyle name="Comma 2 2 2 2" xfId="31"/>
    <cellStyle name="Comma 2 2 2 2 2" xfId="32"/>
    <cellStyle name="Comma 2 2 2 3" xfId="33"/>
    <cellStyle name="Comma 2 2 2 4" xfId="34"/>
    <cellStyle name="Comma 2 2 2 5" xfId="94"/>
    <cellStyle name="Comma 2 2 3" xfId="35"/>
    <cellStyle name="Comma 2 2 3 2" xfId="36"/>
    <cellStyle name="Comma 2 2 4" xfId="37"/>
    <cellStyle name="Comma 2 3" xfId="38"/>
    <cellStyle name="Comma 2 4" xfId="39"/>
    <cellStyle name="Comma 2 4 2" xfId="40"/>
    <cellStyle name="Comma 2 4 2 2" xfId="41"/>
    <cellStyle name="Comma 2 4 3" xfId="42"/>
    <cellStyle name="Comma 2 5" xfId="43"/>
    <cellStyle name="Comma 2 5 2" xfId="44"/>
    <cellStyle name="Comma 2 6" xfId="45"/>
    <cellStyle name="Comma 2 7" xfId="46"/>
    <cellStyle name="Comma 2 8" xfId="99"/>
    <cellStyle name="Comma 3" xfId="47"/>
    <cellStyle name="Comma 3 2" xfId="48"/>
    <cellStyle name="Comma 3 2 2" xfId="49"/>
    <cellStyle name="Comma 3 2 2 2" xfId="50"/>
    <cellStyle name="Comma 3 2 3" xfId="51"/>
    <cellStyle name="EY0dp" xfId="52"/>
    <cellStyle name="EYColumnHeading" xfId="53"/>
    <cellStyle name="EYColumnHeading 2" xfId="54"/>
    <cellStyle name="EYColumnHeading 3" xfId="55"/>
    <cellStyle name="Footnote" xfId="6"/>
    <cellStyle name="FS" xfId="1"/>
    <cellStyle name="Hyperlink" xfId="84"/>
    <cellStyle name="Hyperlink 2" xfId="10"/>
    <cellStyle name="Hyperlink 3" xfId="106"/>
    <cellStyle name="No Data" xfId="3"/>
    <cellStyle name="Normal 13" xfId="92"/>
    <cellStyle name="Normal 2" xfId="5"/>
    <cellStyle name="Normal 2 2" xfId="15"/>
    <cellStyle name="Normal 2 2 2" xfId="16"/>
    <cellStyle name="Normal 2 2 3" xfId="93"/>
    <cellStyle name="Normal 2 3" xfId="56"/>
    <cellStyle name="Normal 2 4" xfId="78"/>
    <cellStyle name="Normal 2 4 2" xfId="86"/>
    <cellStyle name="Normal 2 5" xfId="83"/>
    <cellStyle name="Normal 22" xfId="17"/>
    <cellStyle name="Normal 3" xfId="11"/>
    <cellStyle name="Normal 3 2" xfId="19"/>
    <cellStyle name="Normal 4" xfId="12"/>
    <cellStyle name="Normal 5" xfId="13"/>
    <cellStyle name="Normal 6" xfId="14"/>
    <cellStyle name="Normal 6 2" xfId="21"/>
    <cellStyle name="Percent 2" xfId="4"/>
    <cellStyle name="Percent 3" xfId="20"/>
    <cellStyle name="Percent 4" xfId="24"/>
    <cellStyle name="Table Heading" xfId="7"/>
    <cellStyle name="Table Title" xfId="8"/>
    <cellStyle name="Table Units" xfId="9"/>
    <cellStyle name="Обычный" xfId="0" builtinId="0" customBuiltin="1"/>
    <cellStyle name="Обычный 10 13" xfId="57"/>
    <cellStyle name="Обычный 14" xfId="58"/>
    <cellStyle name="Обычный 177 2 2 3 2" xfId="105"/>
    <cellStyle name="Обычный 177 2 2 3 2 2" xfId="117"/>
    <cellStyle name="Обычный 177 2 2 3 2 3" xfId="123"/>
    <cellStyle name="Обычный 177 3 2 2" xfId="85"/>
    <cellStyle name="Обычный 177 3 2 2 2" xfId="91"/>
    <cellStyle name="Обычный 177 3 2 2 2 2" xfId="112"/>
    <cellStyle name="Обычный 177 3 2 2 3" xfId="108"/>
    <cellStyle name="Обычный 177 3 2 3" xfId="90"/>
    <cellStyle name="Обычный 177 3 2 3 2" xfId="111"/>
    <cellStyle name="Обычный 177 3 2 4" xfId="107"/>
    <cellStyle name="Обычный 177 3 2 4 2" xfId="118"/>
    <cellStyle name="Обычный 178" xfId="96"/>
    <cellStyle name="Обычный 2" xfId="25"/>
    <cellStyle name="Обычный 2 10" xfId="59"/>
    <cellStyle name="Обычный 2 16 3 2 2 3 3" xfId="88"/>
    <cellStyle name="Обычный 2 16 3 2 2 3 3 2" xfId="110"/>
    <cellStyle name="Обычный 2 16 3 2 2 3 3 3" xfId="104"/>
    <cellStyle name="Обычный 2 16 3 2 2 3 3 3 2" xfId="116"/>
    <cellStyle name="Обычный 2 16 3 2 2 3 3 3 3" xfId="122"/>
    <cellStyle name="Обычный 2 16 3 2 2 3 3 4" xfId="120"/>
    <cellStyle name="Обычный 2 16 3 3 2 4" xfId="87"/>
    <cellStyle name="Обычный 2 16 3 3 2 4 2" xfId="109"/>
    <cellStyle name="Обычный 2 16 3 3 2 4 3" xfId="102"/>
    <cellStyle name="Обычный 2 16 3 3 2 4 3 2" xfId="115"/>
    <cellStyle name="Обычный 2 16 3 3 2 4 3 3" xfId="121"/>
    <cellStyle name="Обычный 2 16 3 3 2 4 4" xfId="119"/>
    <cellStyle name="Обычный 2 19" xfId="101"/>
    <cellStyle name="Обычный 2 2" xfId="60"/>
    <cellStyle name="Обычный 2 2 3" xfId="61"/>
    <cellStyle name="Обычный 2 2 8" xfId="98"/>
    <cellStyle name="Обычный 2 2 9" xfId="103"/>
    <cellStyle name="Обычный 2 3" xfId="62"/>
    <cellStyle name="Обычный 2 3 2" xfId="63"/>
    <cellStyle name="Обычный 24" xfId="64"/>
    <cellStyle name="Обычный 27 2" xfId="89"/>
    <cellStyle name="Обычный 3" xfId="65"/>
    <cellStyle name="Обычный 3 2" xfId="66"/>
    <cellStyle name="Обычный 32" xfId="23"/>
    <cellStyle name="Обычный 4" xfId="67"/>
    <cellStyle name="Обычный 5" xfId="68"/>
    <cellStyle name="Обычный 6" xfId="69"/>
    <cellStyle name="Обычный 8" xfId="70"/>
    <cellStyle name="Процентный" xfId="18" builtinId="5"/>
    <cellStyle name="Процентный 2" xfId="27"/>
    <cellStyle name="Процентный 3" xfId="71"/>
    <cellStyle name="Процентный 4" xfId="72"/>
    <cellStyle name="Процентный 5" xfId="80"/>
    <cellStyle name="Процентный 8 2 2" xfId="100"/>
    <cellStyle name="Процентный 8 2 2 2" xfId="114"/>
    <cellStyle name="Финансовый" xfId="79" builtinId="3"/>
    <cellStyle name="Финансовый 10 3 2 2" xfId="73"/>
    <cellStyle name="Финансовый 2" xfId="26"/>
    <cellStyle name="Финансовый 2 2" xfId="74"/>
    <cellStyle name="Финансовый 2 2 2" xfId="75"/>
    <cellStyle name="Финансовый 2 2 4 2" xfId="95"/>
    <cellStyle name="Финансовый 2 2 4 2 2" xfId="113"/>
    <cellStyle name="Финансовый 2 3" xfId="81"/>
    <cellStyle name="Финансовый 3" xfId="76"/>
    <cellStyle name="Финансовый 4" xfId="77"/>
    <cellStyle name="Финансовый 4 2 3" xfId="97"/>
    <cellStyle name="Финансовый 5" xfId="8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CCFFCC"/>
      <color rgb="FFFFFF99"/>
      <color rgb="FFFF7453"/>
      <color rgb="FFFFFF66"/>
      <color rgb="FFE5E8EF"/>
      <color rgb="FF486CB4"/>
      <color rgb="FF97BAFF"/>
      <color rgb="FFA0ACC4"/>
      <color rgb="FF5E5E5E"/>
      <color rgb="FFC4CB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golitsynadd\Documents\&#1055;&#1056;&#1045;&#1047;&#1040;%20&#1057;&#1050;&#1041;%201H20\Project%20Atlas_Sovcombank%20spreadsheet%20(updated)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EVB\5.%20Financial%20model\Support\TF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RepBi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WINDOWS\TEMP\_tc\Parhim\project\6\RepSal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EVB\3.%20Client%20Data\9.%20&#1054;&#1057;%20&#1080;%20&#1053;&#1052;&#1040;\&#1054;&#1057;%20&#1085;&#1072;%2015.02.16%20&#1089;%20&#1080;&#1089;&#1087;&#1088;.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tatyana.chernobrovin\AppData\Local\Microsoft\Windows\Temporary%20Internet%20Files\Content.Outlook\EPA8Y07M\1.%20Support\9.&#1054;&#1057;%20&#1080;%20&#1048;&#1057;\&#1087;%209_1%20&#1053;&#1077;&#1076;&#1074;&#1080;&#1078;&#1080;&#1084;&#1086;&#1089;&#1090;&#1100;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data\Gaap%202002\&#1057;&#1084;&#1080;&#1088;&#1085;&#1086;&#1074;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VAKHTADA\aws\Documents%20and%20Settings\ChelidzeLe\My%20Documents\GCG%20Data\Projects\Audit_Commercial&amp;Manufacturing\2003\TBC\PROFIT%20TAX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VALKOG\MyDocuments\FIAT\Lf21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ject%20Atlant%201H23/Sovcombank%20spreadsheet%20(2010%20-%201H23)_&#1073;&#1077;&#1079;%20&#1089;&#1074;&#1103;&#1079;&#1077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cap.com\Users\GolitsynaDD.BANKRC\Desktop\Prospectus\1Q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GolitsynaDD.BANKRC\Desktop\Prospectus\1Q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cap.com\Users\as73718\AppData\Local\Microsoft\Windows\Temporary%20Internet%20Files\Content.Outlook\CYM7Z4I1\Conversion%20new%20091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as73718\AppData\Local\Microsoft\Windows\Temporary%20Internet%20Files\Content.Outlook\CYM7Z4I1\Conversion%20new%200917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RepCont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RDK\5.%20Financial%20Model\RDK_v17_FINAL%20-%20Copy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WINDOWS\TEMP\_tc\&#1050;&#1086;&#1087;&#1080;&#1103;%20RepS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ovcombank"/>
      <sheetName val="Sheet4"/>
      <sheetName val="Sheet1"/>
      <sheetName val="Sheet2"/>
      <sheetName val="Capital bridge"/>
      <sheetName val="Sheet3"/>
      <sheetName val="Interest yield"/>
      <sheetName val="Cost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TFR"/>
    </sheetNames>
    <definedNames>
      <definedName name="fill_division" refersTo="#ССЫЛКА!"/>
      <definedName name="Ku_only" refersTo="#ССЫЛКА!"/>
    </defined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L4">
            <v>39903</v>
          </cell>
        </row>
      </sheetData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1"/>
      <sheetName val="Отч.121"/>
      <sheetName val="Отч.13"/>
      <sheetName val="Отч.14"/>
      <sheetName val="Отч.15"/>
      <sheetName val="Отч.16"/>
      <sheetName val="Отч.17"/>
      <sheetName val="Отч.18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>
        <row r="4709">
          <cell r="G4709">
            <v>4674</v>
          </cell>
        </row>
      </sheetData>
      <sheetData sheetId="1">
        <row r="6">
          <cell r="J6" t="str">
            <v>МОЛ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XLR_NoRangeSheet"/>
      <sheetName val="Sheet1"/>
      <sheetName val="Аренда"/>
    </sheetNames>
    <sheetDataSet>
      <sheetData sheetId="0">
        <row r="2">
          <cell r="AN2">
            <v>68331692.268090934</v>
          </cell>
        </row>
      </sheetData>
      <sheetData sheetId="1" refreshError="1"/>
      <sheetData sheetId="2">
        <row r="6">
          <cell r="I6" t="str">
            <v>Размещение</v>
          </cell>
        </row>
      </sheetData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ансформация1"/>
      <sheetName val="Предварит_баланс 9 мес"/>
      <sheetName val="Предварит_баланс 3 мес"/>
      <sheetName val="Предварит_баланс 6 мес"/>
      <sheetName val="Предварит_баланс"/>
      <sheetName val="Balance_PL"/>
      <sheetName val="ОС"/>
      <sheetName val="Adj 1"/>
      <sheetName val="Adj 2"/>
      <sheetName val="+для Кэша"/>
      <sheetName val="Accrual Tracking"/>
      <sheetName val="A5 SAD turn around affect"/>
      <sheetName val="Продажи реальные и прогноз 20 л"/>
      <sheetName val="XLR_NoRangeSheet"/>
      <sheetName val="03.Справочники"/>
      <sheetName val="data"/>
      <sheetName val="Tickmarks"/>
      <sheetName val="Rollforward"/>
      <sheetName val="Баланс"/>
      <sheetName val="A"/>
      <sheetName val=" 8230.07+"/>
      <sheetName val="8230.06+"/>
      <sheetName val="хранение 8230.08+"/>
      <sheetName val="NewCashFlow"/>
      <sheetName val="Mapping"/>
      <sheetName val="BS"/>
      <sheetName val="Lead"/>
      <sheetName val="Смирнов1"/>
      <sheetName val="Adj2002"/>
      <sheetName val="Client"/>
      <sheetName val="AJE 2002"/>
      <sheetName val="D&amp;T'02"/>
      <sheetName val="AJEs"/>
      <sheetName val="RAS P&amp;L"/>
      <sheetName val="Other taxes"/>
      <sheetName val="VAT"/>
      <sheetName val="VAT reconciliation"/>
      <sheetName val="Справочник"/>
      <sheetName val="FX3112"/>
      <sheetName val="Sub group code &amp; Name"/>
      <sheetName val="осв ОАО (2)"/>
      <sheetName val="Предварит_баланс_9_мес"/>
      <sheetName val="Предварит_баланс_3_мес"/>
      <sheetName val="Предварит_баланс_6_мес"/>
      <sheetName val="Adj_1"/>
      <sheetName val="Adj_2"/>
      <sheetName val="+для_Кэша"/>
      <sheetName val="_8230_07+"/>
      <sheetName val="8230_06+"/>
      <sheetName val="хранение_8230_08+"/>
      <sheetName val="A5_SAD_turn_around_affect"/>
      <sheetName val="Продажи_реальные_и_прогноз_20_л"/>
      <sheetName val="Sub_group_code_&amp;_Name"/>
      <sheetName val="осв_ОАО_(2)"/>
      <sheetName val="AJE_2002"/>
      <sheetName val="RAS_P&amp;L"/>
      <sheetName val="Other_taxes"/>
      <sheetName val="VAT_reconciliation"/>
      <sheetName val="Accrual_Tracking"/>
      <sheetName val="Базы"/>
      <sheetName val="+5610.04"/>
      <sheetName val="5930.01"/>
      <sheetName val="Breakdown AR"/>
      <sheetName val="gen_cr_01"/>
      <sheetName val="card_01"/>
      <sheetName val="Предварит_баланс_9_мес1"/>
      <sheetName val="Предварит_баланс_3_мес1"/>
      <sheetName val="Предварит_баланс_6_мес1"/>
      <sheetName val="Adj_11"/>
      <sheetName val="Adj_21"/>
      <sheetName val="+для_Кэша1"/>
      <sheetName val="_8230_07+1"/>
      <sheetName val="8230_06+1"/>
      <sheetName val="хранение_8230_08+1"/>
      <sheetName val="A5_SAD_turn_around_affect1"/>
      <sheetName val="Продажи_реальные_и_прогноз_20_1"/>
      <sheetName val="Sub_group_code_&amp;_Name1"/>
      <sheetName val="осв_ОАО_(2)1"/>
      <sheetName val="AJE_20021"/>
      <sheetName val="RAS_P&amp;L1"/>
      <sheetName val="Other_taxes1"/>
      <sheetName val="VAT_reconciliation1"/>
      <sheetName val="Accrual_Tracking1"/>
      <sheetName val="03_Справочники"/>
      <sheetName val="625_626_2"/>
      <sheetName val="Balances"/>
      <sheetName val="Tax breakdown"/>
      <sheetName val="breakdown"/>
      <sheetName val="Справочники"/>
      <sheetName val="7-д ч.1"/>
      <sheetName val="7-д_ч_1"/>
      <sheetName val="Содержание"/>
      <sheetName val="Non-Statistical Sampling Master"/>
      <sheetName val="Two Step Revenue Testing Master"/>
      <sheetName val="SAD"/>
      <sheetName val="INFLOW"/>
      <sheetName val="GRAPHS"/>
      <sheetName val="7-д_ч_11"/>
      <sheetName val="Юр.лица"/>
      <sheetName val="Подразделения"/>
      <sheetName val="lookups"/>
      <sheetName val="Lists"/>
      <sheetName val="Overdrafts"/>
      <sheetName val="CE"/>
      <sheetName val="P&amp;L"/>
      <sheetName val="Процедуры из библиотеки"/>
      <sheetName val="IFRS LS 2018"/>
      <sheetName val="Adjustment_2018"/>
      <sheetName val="Sources &gt;&gt;"/>
      <sheetName val="Adj RZAS"/>
      <sheetName val="Adj RZ"/>
      <sheetName val="Population 44_26"/>
      <sheetName val="TB 2018"/>
      <sheetName val="ERP"/>
      <sheetName val="Test Opex"/>
      <sheetName val="Agreegation"/>
      <sheetName val="Adj Farm"/>
      <sheetName val="IFRS LS 2017"/>
      <sheetName val="мероприятия "/>
      <sheetName val="Дочерние"/>
      <sheetName val="Список Подразделений"/>
      <sheetName val="XREF"/>
      <sheetName val="OLD_SV"/>
      <sheetName val="612"/>
      <sheetName val="List"/>
      <sheetName val="Projects"/>
      <sheetName val="MTS - debt issuance cost"/>
      <sheetName val="Предварит_баланс_9_мес2"/>
      <sheetName val="Предварит_баланс_3_мес2"/>
      <sheetName val="Предварит_баланс_6_мес2"/>
      <sheetName val="Adj_12"/>
      <sheetName val="Adj_22"/>
      <sheetName val="+для_Кэша2"/>
      <sheetName val="_8230_07+2"/>
      <sheetName val="8230_06+2"/>
      <sheetName val="хранение_8230_08+2"/>
      <sheetName val="A5_SAD_turn_around_affect2"/>
      <sheetName val="Продажи_реальные_и_прогноз_20_2"/>
      <sheetName val="AJE_20022"/>
      <sheetName val="RAS_P&amp;L2"/>
      <sheetName val="Other_taxes2"/>
      <sheetName val="VAT_reconciliation2"/>
      <sheetName val="+5610_04"/>
      <sheetName val="Tax_breakdown"/>
      <sheetName val="5930_01"/>
      <sheetName val="Breakdown_AR"/>
      <sheetName val="Non-Statistical_Sampling_Master"/>
      <sheetName val="Two_Step_Revenue_Testing_Master"/>
      <sheetName val="Excel"/>
      <sheetName val="Template"/>
      <sheetName val="Adjustment schedule"/>
      <sheetName val="Результаты"/>
      <sheetName val="Info"/>
      <sheetName val="WPCalc_Сapex&amp;Depr"/>
      <sheetName val="North"/>
      <sheetName val="Б130-1(1)"/>
      <sheetName val="13.1"/>
      <sheetName val="Шкаф"/>
      <sheetName val="Смета"/>
      <sheetName val="Коэфф1."/>
      <sheetName val="Прайс лист"/>
      <sheetName val="Лист1"/>
      <sheetName val="топография"/>
      <sheetName val="свод 2"/>
      <sheetName val="Calc"/>
      <sheetName val="Амур ДОН"/>
      <sheetName val="Дополнительные параметры"/>
      <sheetName val="Лист2"/>
      <sheetName val="Прибыль опл"/>
      <sheetName val="sapactivexlhiddensheet"/>
      <sheetName val="УП _2004"/>
      <sheetName val="total"/>
      <sheetName val="Комплектация"/>
      <sheetName val="трубы"/>
      <sheetName val="СМР"/>
      <sheetName val="дороги"/>
      <sheetName val="топо"/>
      <sheetName val="Итог"/>
      <sheetName val="КП (2)"/>
      <sheetName val="ПДР"/>
      <sheetName val="исходные данные"/>
      <sheetName val="расчетные таблицы"/>
      <sheetName val="ИД"/>
      <sheetName val="MAP"/>
      <sheetName val="саратов (2)"/>
      <sheetName val="RENT ROLL CHECK"/>
      <sheetName val="Отдела для Лимитов"/>
      <sheetName val="Регион"/>
      <sheetName val="Должности"/>
      <sheetName val="Rollforward ST"/>
      <sheetName val="Additions 2002"/>
      <sheetName val="Deprec"/>
      <sheetName val="Reconciliation"/>
      <sheetName val="Rollfwd"/>
      <sheetName val="Свод"/>
      <sheetName val="Источники&gt;&gt;&gt;"/>
      <sheetName val="ОСВ 66-67 2018"/>
      <sheetName val="Дз-Кз"/>
      <sheetName val="ОСВ"/>
      <sheetName val="Эфф. ставка"/>
      <sheetName val="КЗ"/>
      <sheetName val="Векселя&gt;&gt;&gt;"/>
      <sheetName val="Вексель РТТ-ЮХ 10.16 ч1"/>
      <sheetName val="Вексель РТТ-ЮХ 10.16 ч2"/>
      <sheetName val="Вексель Поляны-ТТ транс"/>
      <sheetName val="Вексель Поляны-ЮХ 28.10"/>
      <sheetName val="Вексель Поляны-ЮХ 02.07"/>
      <sheetName val="Вексель Поляны-ЮХ 03.06"/>
      <sheetName val="Вексель Поляны-ЮХ 13.07"/>
      <sheetName val="Уступки&gt;&gt;&gt;"/>
      <sheetName val="ТТ -ЮХ уступка"/>
      <sheetName val="Уступка РТЗ - КМП ч1"/>
      <sheetName val="Уступка РТЗ - КМП ч2"/>
      <sheetName val="Займы&gt;&gt;&gt;"/>
      <sheetName val="Займ получ. Л-ЮХ 138|11"/>
      <sheetName val="Займ получ. Л-ЮХ от 01.07"/>
      <sheetName val="Займ получ. РТЗ-ЮХ 121|11"/>
      <sheetName val="Займ получ. РТЗ-ЮХ 136|11"/>
      <sheetName val="Займ получ. ЮХ-88"/>
      <sheetName val="Займ получ. РТТ-ЮХ 20.16"/>
      <sheetName val="Карточка счета РТТ"/>
      <sheetName val="Займ РТТ-ЮХ 20|16-карточка"/>
      <sheetName val="Займ получ. ЮХ-88-карточка"/>
      <sheetName val="ETRS"/>
      <sheetName val="summary"/>
      <sheetName val="Payroll"/>
      <sheetName val="Sheet1"/>
      <sheetName val="Inputs"/>
      <sheetName val="Sales Testing"/>
      <sheetName val="Sales Brdwn 9m 2006"/>
      <sheetName val="MTS Finance elim"/>
      <sheetName val="BS&amp;PL Summary"/>
      <sheetName val="Changes 3Q-2Q"/>
      <sheetName val="Ico_for_consolidation_2Q_06"/>
      <sheetName val="Лист"/>
      <sheetName val="Список 1 кв."/>
      <sheetName val="оборудование"/>
      <sheetName val="cus_HK1033"/>
      <sheetName val="Справочники таблиц"/>
      <sheetName val=" "/>
      <sheetName val="VKPM"/>
      <sheetName val="Note"/>
      <sheetName val="Taxes &amp; Deductions"/>
      <sheetName val="Balance Sheet"/>
      <sheetName val="Leasing"/>
      <sheetName val="Grouplist"/>
      <sheetName val="Параметры"/>
      <sheetName val="Dealing &amp; AFS"/>
      <sheetName val="Directory"/>
      <sheetName val="FA rollforward Bank"/>
      <sheetName val="INPUT ac. balances HERE!"/>
      <sheetName val="TPSA_Model"/>
      <sheetName val="Production&amp;Sales"/>
      <sheetName val="Codes"/>
      <sheetName val="Тех. лист"/>
      <sheetName val="программа"/>
      <sheetName val="тех данные"/>
      <sheetName val="ВГР активы"/>
      <sheetName val="Parameters"/>
      <sheetName val="Proforma"/>
      <sheetName val="Assumptions"/>
      <sheetName val="CSCCincSKR"/>
      <sheetName val="CF"/>
      <sheetName val="HC_ppt"/>
      <sheetName val="PFC-PYX1"/>
      <sheetName val="фа"/>
      <sheetName val="фаOIBDA"/>
      <sheetName val="данные для графика"/>
      <sheetName val="current_balance"/>
      <sheetName val="MAIN"/>
      <sheetName val="Definitions"/>
      <sheetName val="REPORT"/>
      <sheetName val="SENSITIVITY"/>
      <sheetName val="Бюджет"/>
      <sheetName val="PNL"/>
      <sheetName val="Структура расходов"/>
      <sheetName val="Ф.2"/>
      <sheetName val="Актив"/>
      <sheetName val="InpC"/>
      <sheetName val="Gen"/>
      <sheetName val="&lt;&lt;&lt;EXHIBITS&gt;&gt;&gt;"/>
      <sheetName val="Список"/>
      <sheetName val="Расчет VAS (руб.)"/>
      <sheetName val="#ССЫЛКА"/>
      <sheetName val="ф.29мес."/>
      <sheetName val="CREDIT STATS"/>
      <sheetName val="Статьи затрат и ЦФО"/>
      <sheetName val="Assum"/>
      <sheetName val="Таблица"/>
      <sheetName val="17.Налог"/>
      <sheetName val="Списки"/>
      <sheetName val="макропараметры"/>
      <sheetName val="Service"/>
      <sheetName val="Настройка"/>
      <sheetName val="RSOILBAL"/>
      <sheetName val="БК"/>
      <sheetName val="INPUT EXPENSES"/>
      <sheetName val="Шаблоны"/>
      <sheetName val="Списки_и_цели"/>
      <sheetName val="Описание_полей_и_показателей"/>
      <sheetName val="ИЗ-2016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Удм-3"/>
      <sheetName val="Удм-1"/>
      <sheetName val="Удм-2"/>
      <sheetName val="Ф-2 ЮССС"/>
      <sheetName val="Ф-1 ЮССС"/>
      <sheetName val="Лист4"/>
      <sheetName val="Списки_и_цели_МТС_РФ"/>
      <sheetName val="Dropdown list"/>
      <sheetName val="вид"/>
      <sheetName val="проект - отдел"/>
      <sheetName val="инфо"/>
      <sheetName val="Лист6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Контрагенты"/>
      <sheetName val="Статьи"/>
      <sheetName val="Сотрудники"/>
      <sheetName val="станция_Обьект"/>
      <sheetName val="Справочник ЦФО"/>
      <sheetName val="Факторы"/>
      <sheetName val="Номенклатура"/>
      <sheetName val="Lib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Графики"/>
      <sheetName val="Cправочник"/>
      <sheetName val="DIR"/>
      <sheetName val="help"/>
      <sheetName val="I_ЗДМ_Процессы_операции"/>
      <sheetName val="Brif_zdanie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Методология"/>
      <sheetName val="Коды"/>
      <sheetName val="Tech"/>
      <sheetName val="Source"/>
      <sheetName val="Serv"/>
      <sheetName val="ЦФО_New"/>
      <sheetName val="Спр"/>
      <sheetName val="перечень статей затрат PNL"/>
      <sheetName val="ЦФО"/>
      <sheetName val="Справочник БКВ"/>
      <sheetName val="ТехСписки"/>
      <sheetName val="Код"/>
      <sheetName val="Филии"/>
      <sheetName val="МР"/>
      <sheetName val="Дата"/>
      <sheetName val="АТСи"/>
      <sheetName val="Специфікація"/>
      <sheetName val="Список спец. критериев"/>
      <sheetName val="справочник магазинов"/>
      <sheetName val="ИНДЕКСЫ"/>
      <sheetName val="Структура_расходов"/>
      <sheetName val="данные_для_графика"/>
      <sheetName val="Ф_2"/>
      <sheetName val="ф_29мес_"/>
      <sheetName val="CREDIT_STATS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Revenue_comp"/>
      <sheetName val="Таксономия"/>
      <sheetName val="Статьи ДДС 2017"/>
      <sheetName val="Стать БУ"/>
      <sheetName val="счета  БУ"/>
      <sheetName val="BS PR"/>
      <sheetName val="Справочник статей БУ "/>
      <sheetName val="MPP"/>
      <sheetName val="ГК Элемент (ВГО)"/>
      <sheetName val="Курс валют на___"/>
      <sheetName val="организации"/>
      <sheetName val="Проекты"/>
      <sheetName val="DIN"/>
      <sheetName val="шаблон"/>
      <sheetName val="Share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Filters"/>
      <sheetName val="Квартал"/>
      <sheetName val="DLL"/>
      <sheetName val="ИСХОДНИК"/>
      <sheetName val="база"/>
      <sheetName val="Titles"/>
      <sheetName val="Sheet2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Лимиты"/>
      <sheetName val="Библиотека"/>
      <sheetName val="Питер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БC"/>
      <sheetName val="ТехДанные"/>
      <sheetName val="ppt"/>
      <sheetName val="1999"/>
      <sheetName val="sample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Справочник-new_2"/>
      <sheetName val="Список_действ_клиент_договор"/>
      <sheetName val="РПУ"/>
      <sheetName val="Категории"/>
      <sheetName val="Производственная функция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Sheet3"/>
      <sheetName val="Dashboard"/>
      <sheetName val="Системный"/>
      <sheetName val="DB"/>
      <sheetName val=" + ОСВ 43"/>
      <sheetName val="Рук-ство по зап-ю"/>
      <sheetName val="KEY"/>
      <sheetName val="МСФО_счета"/>
      <sheetName val="CAPEX new"/>
      <sheetName val="Library"/>
      <sheetName val="Accounts DATA"/>
      <sheetName val="5.Справочники"/>
      <sheetName val="Fixed_charges"/>
      <sheetName val="Below_EBITDA"/>
      <sheetName val="Контрагент_1"/>
      <sheetName val="cost"/>
      <sheetName val="заполнение таблицы"/>
      <sheetName val="partn"/>
      <sheetName val="Справочник(тех)"/>
      <sheetName val="СписокКомпаний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мэппинг PL_CF"/>
      <sheetName val="цфо_МВЗ"/>
      <sheetName val="Расчёт"/>
      <sheetName val="CAMPAIGN AVERAGE F"/>
      <sheetName val="статьи БДР"/>
      <sheetName val="Ф_21"/>
      <sheetName val="данные_для_графика1"/>
      <sheetName val="Структура_расходов1"/>
      <sheetName val="ф_29мес_1"/>
      <sheetName val="CREDIT_STATS1"/>
      <sheetName val="справочник мвз"/>
      <sheetName val="List of CH"/>
      <sheetName val="TDSheet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5. СПРАВОЧНИКИ"/>
      <sheetName val="3P_FA"/>
      <sheetName val="Список лотов"/>
      <sheetName val="Справочник люди"/>
      <sheetName val="НС_3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КА"/>
      <sheetName val="Const"/>
      <sheetName val="справ"/>
      <sheetName val="Лист5"/>
      <sheetName val="Существенность"/>
      <sheetName val="Products annual"/>
      <sheetName val="Статьи_МКМ"/>
      <sheetName val="Список CapEx"/>
      <sheetName val="Списки (доходы)"/>
      <sheetName val="Список (CapEx)"/>
      <sheetName val="Список для СapEx"/>
      <sheetName val="Товарооборот 2021"/>
      <sheetName val="ФОТ штат_22"/>
      <sheetName val="Численность_по активам"/>
      <sheetName val="КСВ_График слайд 11"/>
      <sheetName val="ФЛ_2019"/>
      <sheetName val="мсфо"/>
      <sheetName val="Статьи ПК"/>
      <sheetName val="для GAAP Analysis"/>
      <sheetName val="В файл IFRS Analysis мобильн"/>
      <sheetName val="B22-B24"/>
      <sheetName val="Исх дан для мобильного"/>
      <sheetName val="Корр-ка неттинга"/>
      <sheetName val="B22-B24 БЕР (ан ДЗ % Резерва)"/>
      <sheetName val="B22_B24_BER_3'q19_vs_4q'18"/>
      <sheetName val="сверка мис и формы "/>
      <sheetName val="сыверка мис и осв"/>
      <sheetName val="сверка неттинг"/>
      <sheetName val="анализ в целом по кластерам"/>
      <sheetName val="анализ в разрезе кластеров"/>
      <sheetName val="сверка с рабочим реклассом"/>
      <sheetName val="ОСВ ГК 4кв"/>
      <sheetName val="B22-B24 MSK "/>
      <sheetName val="B24 MSK"/>
      <sheetName val="B22 SPB"/>
      <sheetName val="6201 MSK"/>
      <sheetName val="B22 Сильный"/>
      <sheetName val="B24 Сильный"/>
      <sheetName val="B22 Паритетный"/>
      <sheetName val="B24 Паритетный"/>
      <sheetName val="B22 Рост"/>
      <sheetName val="B24 Рост"/>
      <sheetName val="B22 Стабильный"/>
      <sheetName val="B24 Стабильный"/>
      <sheetName val="Свод (2)"/>
      <sheetName val="ДЗ 150 дней УЗИ"/>
      <sheetName val="ДЗ 180 дней"/>
      <sheetName val="Свод (3)"/>
      <sheetName val="УЗИ 2q16 ДЗ 150 дней"/>
      <sheetName val="с"/>
      <sheetName val="проводка SLA"/>
      <sheetName val="анализ проверка"/>
      <sheetName val="C проверка шаблона"/>
      <sheetName val="проводка"/>
      <sheetName val="меппинг БЕ, срока ДЗ"/>
      <sheetName val="проверка"/>
      <sheetName val="не мигр ДЗ"/>
      <sheetName val="БМК"/>
      <sheetName val="проценты резерва"/>
      <sheetName val="hfm"/>
      <sheetName val="Кл01"/>
      <sheetName val="B24 K01"/>
      <sheetName val="B22 K04"/>
      <sheetName val="B22 SPB_"/>
      <sheetName val="B24 SPB"/>
      <sheetName val="B24 K02"/>
      <sheetName val="B22_K04"/>
      <sheetName val="свод 0010704 БРЕНД ГРАФИКА"/>
      <sheetName val="0010704"/>
      <sheetName val="Кл04"/>
      <sheetName val="Спб"/>
      <sheetName val="B24 MSK "/>
      <sheetName val="CL01_"/>
      <sheetName val="CL04"/>
      <sheetName val="Cl01"/>
      <sheetName val="Кл2"/>
      <sheetName val="Кл3"/>
      <sheetName val="Кл4_"/>
      <sheetName val="SPB"/>
      <sheetName val="МСК A2P_"/>
      <sheetName val="МБ"/>
      <sheetName val="ФБ_МРМ+СПб"/>
      <sheetName val="ФБ"/>
      <sheetName val="ТРАК"/>
      <sheetName val="Сбербанк"/>
      <sheetName val="неттинг"/>
      <sheetName val="спрч-ик для ф-л"/>
      <sheetName val="спр-к ДУД"/>
      <sheetName val="БМК (2)"/>
      <sheetName val="меппинг БЕ, срока ДЗ (2)"/>
      <sheetName val="соотв 62-63 (1)"/>
      <sheetName val="соотв 62-63 (2)"/>
      <sheetName val="выясненные расхождения"/>
      <sheetName val="не мигр.дз"/>
      <sheetName val="анализ в разрезе кластеров ДЗ"/>
      <sheetName val="ДЗ"/>
      <sheetName val="ОСВ ГК 4кв В22"/>
      <sheetName val="MEX95IB"/>
      <sheetName val="Accrual_Tracking2"/>
      <sheetName val="03_Справочники1"/>
      <sheetName val="Sub_group_code_&amp;_Name2"/>
      <sheetName val="осв_ОАО_(2)2"/>
      <sheetName val="7-д_ч_12"/>
      <sheetName val="Юр_лица"/>
      <sheetName val="13_1"/>
      <sheetName val="Коэфф1_"/>
      <sheetName val="свод_2"/>
      <sheetName val="Амур_ДОН"/>
      <sheetName val="Дополнительные_параметры"/>
      <sheetName val="Прибыль_опл"/>
      <sheetName val="УП__2004"/>
      <sheetName val="КП_(2)"/>
      <sheetName val="исходные_данные"/>
      <sheetName val="расчетные_таблицы"/>
      <sheetName val="Sales_Testing"/>
      <sheetName val="Sales_Brdwn_9m_2006"/>
      <sheetName val="Adjustment_schedule"/>
      <sheetName val="Процедуры_из_библиотеки"/>
      <sheetName val="IFRS_LS_2018"/>
      <sheetName val="Sources_&gt;&gt;"/>
      <sheetName val="Adj_RZAS"/>
      <sheetName val="Adj_RZ"/>
      <sheetName val="Population_44_26"/>
      <sheetName val="TB_2018"/>
      <sheetName val="Test_Opex"/>
      <sheetName val="Adj_Farm"/>
      <sheetName val="IFRS_LS_2017"/>
      <sheetName val="мероприятия_"/>
      <sheetName val="Список_Подразделений"/>
      <sheetName val="саратов_(2)"/>
      <sheetName val="RENT_ROLL_CHECK"/>
      <sheetName val="Additions_2002"/>
      <sheetName val="Rollforward_ST"/>
      <sheetName val="ОСВ_66-67_2018"/>
      <sheetName val="Эфф__ставка"/>
      <sheetName val="Вексель_РТТ-ЮХ_10_16_ч1"/>
      <sheetName val="Вексель_РТТ-ЮХ_10_16_ч2"/>
      <sheetName val="Вексель_Поляны-ТТ_транс"/>
      <sheetName val="Вексель_Поляны-ЮХ_28_10"/>
      <sheetName val="Вексель_Поляны-ЮХ_02_07"/>
      <sheetName val="Вексель_Поляны-ЮХ_03_06"/>
      <sheetName val="Вексель_Поляны-ЮХ_13_07"/>
      <sheetName val="ТТ_-ЮХ_уступка"/>
      <sheetName val="Уступка_РТЗ_-_КМП_ч1"/>
      <sheetName val="Уступка_РТЗ_-_КМП_ч2"/>
      <sheetName val="Займ_получ__Л-ЮХ_138|11"/>
      <sheetName val="Займ_получ__Л-ЮХ_от_01_07"/>
      <sheetName val="Займ_получ__РТЗ-ЮХ_121|11"/>
      <sheetName val="Займ_получ__РТЗ-ЮХ_136|11"/>
      <sheetName val="Займ_получ__ЮХ-88"/>
      <sheetName val="Займ_получ__РТТ-ЮХ_20_16"/>
      <sheetName val="Карточка_счета_РТТ"/>
      <sheetName val="Займ_РТТ-ЮХ_20|16-карточка"/>
      <sheetName val="Займ_получ__ЮХ-88-карточка"/>
      <sheetName val="S 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/>
      <sheetData sheetId="553"/>
      <sheetData sheetId="554"/>
      <sheetData sheetId="555"/>
      <sheetData sheetId="556" refreshError="1"/>
      <sheetData sheetId="557" refreshError="1"/>
      <sheetData sheetId="558" refreshError="1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 refreshError="1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HK"/>
      <sheetName val="SHORT"/>
      <sheetName val="workfile"/>
      <sheetName val="FA Movement-consolidated 2000"/>
      <sheetName val="B2"/>
      <sheetName val="Trial Balance"/>
      <sheetName val="PROFIT TAX 2003"/>
      <sheetName val="impaired FA"/>
      <sheetName val="7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x_xx"/>
      <sheetName val="lx_xx2"/>
      <sheetName val="lf21"/>
      <sheetName val="lf22"/>
      <sheetName val="lf23"/>
      <sheetName val="lf24"/>
      <sheetName val="lf25"/>
      <sheetName val="lf26"/>
      <sheetName val="lfДУКАТО"/>
      <sheetName val="плащане"/>
      <sheetName val="lf пунто-рент"/>
      <sheetName val="lf брава-рент (2)"/>
      <sheetName val="LP39"/>
      <sheetName val="lf27"/>
      <sheetName val="lf28"/>
      <sheetName val="lGOZELA"/>
      <sheetName val="lf 3г"/>
      <sheetName val="lf мареа-рент (2)"/>
      <sheetName val="NF01пунто+брава+мареа-рент"/>
      <sheetName val="Rollforward-Shares"/>
      <sheetName val="МБК"/>
      <sheetName val="Корп кред"/>
      <sheetName val="КРБ (2)"/>
      <sheetName val="КРБ"/>
      <sheetName val="графики (2)"/>
      <sheetName val="60"/>
      <sheetName val="име"/>
      <sheetName val="Просрочки"/>
      <sheetName val="Курс доллара СШ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vcombank"/>
      <sheetName val="NIM"/>
      <sheetName val="COR"/>
      <sheetName val="COF"/>
      <sheetName val="Yield"/>
      <sheetName val="Stage 3"/>
      <sheetName val="13y grow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Financials"/>
      <sheetName val="One-offs"/>
      <sheetName val="Segment"/>
      <sheetName val="Retail"/>
      <sheetName val="CIB"/>
      <sheetName val="Funding"/>
      <sheetName val="Fin.Highlights"/>
      <sheetName val="BS + IS Output"/>
      <sheetName val="Reconciliation"/>
      <sheetName val="Op. perf."/>
      <sheetName val="Highlights"/>
      <sheetName val="BS "/>
      <sheetName val="Capitalisation"/>
      <sheetName val="Output"/>
      <sheetName val="Other"/>
      <sheetName val="РЕБ"/>
      <sheetName val="Халва 2018"/>
      <sheetName val="Segm"/>
      <sheetName val="adj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Financials"/>
      <sheetName val="One-offs"/>
      <sheetName val="Segment"/>
      <sheetName val="Retail"/>
      <sheetName val="CIB"/>
      <sheetName val="Funding"/>
      <sheetName val="Fin.Highlights"/>
      <sheetName val="BS + IS Output"/>
      <sheetName val="Reconciliation"/>
      <sheetName val="Op. perf."/>
      <sheetName val="Highlights"/>
      <sheetName val="BS "/>
      <sheetName val="Capitalisation"/>
      <sheetName val="Output"/>
      <sheetName val="Other"/>
      <sheetName val="РЕБ"/>
      <sheetName val="Халва 2018"/>
      <sheetName val="Segm"/>
      <sheetName val="adj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TRS 2"/>
      <sheetName val="PL"/>
      <sheetName val="CAP"/>
      <sheetName val="Блоки проводок"/>
      <sheetName val="Лист1"/>
      <sheetName val="CC BS"/>
    </sheetNames>
    <sheetDataSet>
      <sheetData sheetId="0">
        <row r="23">
          <cell r="D23">
            <v>21326290</v>
          </cell>
        </row>
      </sheetData>
      <sheetData sheetId="1"/>
      <sheetData sheetId="2">
        <row r="11">
          <cell r="C11">
            <v>0</v>
          </cell>
        </row>
        <row r="23">
          <cell r="C23">
            <v>0</v>
          </cell>
        </row>
        <row r="24">
          <cell r="C24">
            <v>0</v>
          </cell>
        </row>
        <row r="30">
          <cell r="C30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TRS 2"/>
      <sheetName val="PL"/>
      <sheetName val="CAP"/>
      <sheetName val="Блоки проводок"/>
      <sheetName val="Лист1"/>
      <sheetName val="CC BS"/>
    </sheetNames>
    <sheetDataSet>
      <sheetData sheetId="0">
        <row r="23">
          <cell r="D23">
            <v>21326290</v>
          </cell>
        </row>
      </sheetData>
      <sheetData sheetId="1"/>
      <sheetData sheetId="2">
        <row r="11">
          <cell r="C11">
            <v>0</v>
          </cell>
        </row>
        <row r="23">
          <cell r="C23">
            <v>0</v>
          </cell>
        </row>
        <row r="24">
          <cell r="C24">
            <v>0</v>
          </cell>
        </row>
        <row r="30">
          <cell r="C30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2"/>
      <sheetName val="Отч.13"/>
      <sheetName val="Отч.15"/>
      <sheetName val="Отч.16"/>
      <sheetName val="Отч.17"/>
      <sheetName val="Отч.18"/>
      <sheetName val="Отч.19"/>
      <sheetName val="Отч.20"/>
      <sheetName val="Отч.21"/>
      <sheetName val="Отч.22"/>
      <sheetName val="Отч.23"/>
      <sheetName val="Отч.24"/>
      <sheetName val="Отч.25"/>
      <sheetName val="Отч.26"/>
      <sheetName val="Отч.27"/>
      <sheetName val="Отч.28"/>
      <sheetName val="Отч.29"/>
      <sheetName val="Отч.30"/>
      <sheetName val="Отч.31"/>
      <sheetName val="Отч.32"/>
      <sheetName val="Отч.33"/>
      <sheetName val="Отч.34"/>
      <sheetName val="Отч.35"/>
      <sheetName val="Отч.36"/>
      <sheetName val="Отч.37"/>
      <sheetName val="Отч.38"/>
      <sheetName val="Отч.39"/>
      <sheetName val="Отч.40"/>
      <sheetName val="Отч.41"/>
      <sheetName val="Отч.42"/>
      <sheetName val="Отч.43"/>
      <sheetName val="Отч.44"/>
      <sheetName val="Отч.45"/>
      <sheetName val="Отч.46"/>
      <sheetName val="Отч.47"/>
      <sheetName val="Отч.48"/>
      <sheetName val="Отч.50"/>
      <sheetName val="Отч.51"/>
      <sheetName val="Отч.52"/>
      <sheetName val="Отч.53"/>
      <sheetName val="Отч.54"/>
      <sheetName val="Отч.55"/>
      <sheetName val="Отч.56"/>
      <sheetName val="Отч.57"/>
      <sheetName val="Отч.58"/>
      <sheetName val="Отч.59"/>
      <sheetName val="Отч.60"/>
      <sheetName val="Отч.61"/>
      <sheetName val="Отч.62"/>
      <sheetName val="Отч.63"/>
      <sheetName val="Отч.64"/>
      <sheetName val="Отч.65"/>
      <sheetName val="Отч.66"/>
      <sheetName val="Отч.67"/>
      <sheetName val="Отч.68"/>
      <sheetName val="Отч.69"/>
      <sheetName val="Отч.70"/>
      <sheetName val="Отч.71"/>
      <sheetName val="Отч.72"/>
      <sheetName val="Отч.73"/>
      <sheetName val="Отч.75"/>
      <sheetName val="Отч.76"/>
      <sheetName val="Отч.77"/>
      <sheetName val="Отч.79"/>
      <sheetName val="Отч.80"/>
      <sheetName val="Отч.81"/>
      <sheetName val="Отч.82"/>
      <sheetName val="Отч.83"/>
      <sheetName val="Отч.84"/>
      <sheetName val="Отч.85"/>
      <sheetName val="Отч.86"/>
      <sheetName val="Отч.87"/>
      <sheetName val="Отч.88"/>
      <sheetName val="Отч.89"/>
      <sheetName val="Отч.90"/>
      <sheetName val="Отч.91"/>
      <sheetName val="Отч.92"/>
      <sheetName val="Отч.93"/>
      <sheetName val="Отч.94"/>
      <sheetName val="Отч.95"/>
      <sheetName val="Отч.96"/>
      <sheetName val="Отч.97"/>
      <sheetName val="Отч.99"/>
      <sheetName val="Отч.100"/>
      <sheetName val="Отч.101"/>
      <sheetName val="Отч.104"/>
      <sheetName val="Отч.105"/>
      <sheetName val="Отч.106"/>
      <sheetName val="Отч.107"/>
      <sheetName val="Отч.108"/>
      <sheetName val="Отч.109"/>
      <sheetName val="Отч.112"/>
      <sheetName val="Отч.114"/>
      <sheetName val="Отч.115"/>
      <sheetName val="Отч.116"/>
      <sheetName val="Отч.118"/>
      <sheetName val="Отч.119"/>
      <sheetName val="Отч.120"/>
      <sheetName val="Отч.121"/>
      <sheetName val="Отч.123"/>
      <sheetName val="Отч.124"/>
      <sheetName val="Отч.126"/>
      <sheetName val="Отч.127"/>
      <sheetName val="Отч.129"/>
      <sheetName val="Отч.131"/>
      <sheetName val="Отч.132"/>
      <sheetName val="Отч.133"/>
      <sheetName val="Отч.134"/>
      <sheetName val="Отч.135"/>
      <sheetName val="Отч.136"/>
      <sheetName val="Отч.137"/>
      <sheetName val="Отч.139"/>
      <sheetName val="Отч.140"/>
      <sheetName val="Отч.141"/>
      <sheetName val="Отч.142"/>
      <sheetName val="Настройки"/>
      <sheetName val="Отч.11"/>
      <sheetName val="Отч.14"/>
      <sheetName val="Отч.74"/>
      <sheetName val="Отч.78"/>
      <sheetName val="Отч.98"/>
      <sheetName val="Отч.102"/>
      <sheetName val="Отч.103"/>
      <sheetName val="Отч.110"/>
      <sheetName val="Отч.111"/>
      <sheetName val="Отч.113"/>
      <sheetName val="Отч.117"/>
      <sheetName val="Отч.122"/>
      <sheetName val="Отч.125"/>
      <sheetName val="Отч.128"/>
      <sheetName val="Отч.130"/>
      <sheetName val="Отч.51a"/>
      <sheetName val="Отч.143"/>
      <sheetName val="Отч.144"/>
      <sheetName val="Отч.145"/>
      <sheetName val="Отч.1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8S"/>
      <sheetName val="Sheet4S"/>
      <sheetName val="Sheet01S"/>
      <sheetName val="Sheet12S"/>
      <sheetName val="Cover"/>
      <sheetName val="Disclaimer"/>
      <sheetName val="Contents"/>
      <sheetName val="Review"/>
      <sheetName val="Control"/>
      <sheetName val="Review YR"/>
      <sheetName val="Review VL"/>
      <sheetName val="Input FS"/>
      <sheetName val="Input TI"/>
      <sheetName val="Input TD"/>
      <sheetName val="Prices"/>
      <sheetName val="Volumes"/>
      <sheetName val="Commission"/>
      <sheetName val="Cost"/>
      <sheetName val="Interest Income"/>
      <sheetName val="WC"/>
      <sheetName val="FA&amp;Capex"/>
      <sheetName val="PL"/>
      <sheetName val="BS"/>
      <sheetName val="KPI"/>
      <sheetName val="DCF"/>
      <sheetName val="Support&gt;&gt;&gt;"/>
      <sheetName val="TFR"/>
      <sheetName val="Template"/>
      <sheetName val="Курс C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75"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1"/>
      <sheetName val="Отч.12"/>
      <sheetName val="Отч.13"/>
      <sheetName val="Отч.14"/>
      <sheetName val="Отч.15"/>
      <sheetName val="Отч.16"/>
      <sheetName val="Отч.17"/>
      <sheetName val="Отч.18"/>
      <sheetName val="Лист1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Dilip">
      <a:dk1>
        <a:srgbClr val="53565A"/>
      </a:dk1>
      <a:lt1>
        <a:srgbClr val="FFFFFF"/>
      </a:lt1>
      <a:dk2>
        <a:srgbClr val="1C428D"/>
      </a:dk2>
      <a:lt2>
        <a:srgbClr val="96B2EA"/>
      </a:lt2>
      <a:accent1>
        <a:srgbClr val="002060"/>
      </a:accent1>
      <a:accent2>
        <a:srgbClr val="A0ACC4"/>
      </a:accent2>
      <a:accent3>
        <a:srgbClr val="C00000"/>
      </a:accent3>
      <a:accent4>
        <a:srgbClr val="E5E8EF"/>
      </a:accent4>
      <a:accent5>
        <a:srgbClr val="FF8080"/>
      </a:accent5>
      <a:accent6>
        <a:srgbClr val="97BAFF"/>
      </a:accent6>
      <a:hlink>
        <a:srgbClr val="002060"/>
      </a:hlink>
      <a:folHlink>
        <a:srgbClr val="C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autoPageBreaks="0"/>
  </sheetPr>
  <dimension ref="A1:BL570"/>
  <sheetViews>
    <sheetView tabSelected="1" zoomScale="90" zoomScaleNormal="90" zoomScaleSheetLayoutView="100" workbookViewId="0">
      <pane xSplit="3" ySplit="3" topLeftCell="AD4" activePane="bottomRight" state="frozen"/>
      <selection pane="topRight" activeCell="D1" sqref="D1"/>
      <selection pane="bottomLeft" activeCell="A4" sqref="A4"/>
      <selection pane="bottomRight" activeCell="AX3" sqref="AX3"/>
    </sheetView>
  </sheetViews>
  <sheetFormatPr defaultColWidth="9.33203125" defaultRowHeight="11.25" outlineLevelRow="1" outlineLevelCol="1" x14ac:dyDescent="0.2"/>
  <cols>
    <col min="1" max="1" width="2.83203125" style="4" customWidth="1"/>
    <col min="2" max="2" width="2.83203125" style="9" customWidth="1"/>
    <col min="3" max="3" width="62.83203125" style="4" customWidth="1"/>
    <col min="4" max="4" width="11.83203125" style="4" hidden="1" customWidth="1" outlineLevel="1" collapsed="1"/>
    <col min="5" max="5" width="11.83203125" style="4" hidden="1" customWidth="1" outlineLevel="1"/>
    <col min="6" max="6" width="11.83203125" style="4" hidden="1" customWidth="1" outlineLevel="1" collapsed="1"/>
    <col min="7" max="7" width="11.83203125" style="4" hidden="1" customWidth="1" outlineLevel="1"/>
    <col min="8" max="8" width="11.83203125" style="4" hidden="1" customWidth="1" outlineLevel="1" collapsed="1"/>
    <col min="9" max="9" width="11.83203125" style="4" hidden="1" customWidth="1" outlineLevel="1"/>
    <col min="10" max="10" width="11.83203125" style="4" hidden="1" customWidth="1" outlineLevel="1" collapsed="1"/>
    <col min="11" max="11" width="11.83203125" style="4" hidden="1" customWidth="1" outlineLevel="1"/>
    <col min="12" max="12" width="11.83203125" style="4" hidden="1" customWidth="1" outlineLevel="1" collapsed="1"/>
    <col min="13" max="13" width="11.83203125" style="4" hidden="1" customWidth="1" outlineLevel="1"/>
    <col min="14" max="14" width="11.83203125" style="4" hidden="1" customWidth="1" outlineLevel="1" collapsed="1"/>
    <col min="15" max="15" width="10.33203125" style="4" hidden="1" customWidth="1" outlineLevel="1"/>
    <col min="16" max="16" width="11.83203125" style="4" hidden="1" customWidth="1" outlineLevel="1" collapsed="1"/>
    <col min="17" max="17" width="11.5" style="4" hidden="1" customWidth="1" outlineLevel="1"/>
    <col min="18" max="18" width="13.1640625" style="4" hidden="1" customWidth="1" outlineLevel="1"/>
    <col min="19" max="19" width="11.83203125" style="4" hidden="1" customWidth="1" outlineLevel="1"/>
    <col min="20" max="20" width="13.5" style="4" hidden="1" customWidth="1" outlineLevel="1"/>
    <col min="21" max="21" width="11.33203125" style="4" hidden="1" customWidth="1" outlineLevel="1"/>
    <col min="22" max="22" width="12.83203125" style="4" hidden="1" customWidth="1" outlineLevel="1"/>
    <col min="23" max="23" width="11.5" style="4" hidden="1" customWidth="1" outlineLevel="1"/>
    <col min="24" max="24" width="13.5" style="4" hidden="1" customWidth="1" outlineLevel="1"/>
    <col min="25" max="25" width="12.33203125" style="4" hidden="1" customWidth="1" outlineLevel="1"/>
    <col min="26" max="27" width="12.5" style="4" hidden="1" customWidth="1" outlineLevel="1"/>
    <col min="28" max="28" width="13.1640625" style="4" hidden="1" customWidth="1" outlineLevel="1"/>
    <col min="29" max="39" width="12.33203125" style="4" hidden="1" customWidth="1" outlineLevel="1"/>
    <col min="40" max="40" width="12.33203125" style="4" customWidth="1" collapsed="1"/>
    <col min="41" max="43" width="12.33203125" style="4" hidden="1" customWidth="1" outlineLevel="1"/>
    <col min="44" max="44" width="13" style="4" bestFit="1" customWidth="1" collapsed="1"/>
    <col min="45" max="47" width="12.33203125" style="4" hidden="1" customWidth="1" outlineLevel="1"/>
    <col min="48" max="48" width="12.33203125" style="4" customWidth="1" collapsed="1"/>
    <col min="49" max="50" width="12.33203125" style="4" customWidth="1"/>
    <col min="51" max="51" width="19.6640625" style="4" customWidth="1"/>
    <col min="52" max="52" width="36.83203125" style="4" customWidth="1"/>
    <col min="53" max="53" width="13" style="4" customWidth="1"/>
    <col min="54" max="54" width="12" style="4" bestFit="1" customWidth="1"/>
    <col min="55" max="55" width="11" style="4" bestFit="1" customWidth="1"/>
    <col min="56" max="56" width="12.33203125" style="4" bestFit="1" customWidth="1"/>
    <col min="57" max="57" width="11.33203125" style="4" customWidth="1"/>
    <col min="58" max="58" width="9.33203125" style="4"/>
    <col min="59" max="59" width="9.83203125" style="4" bestFit="1" customWidth="1"/>
    <col min="60" max="60" width="9.5" style="4" bestFit="1" customWidth="1"/>
    <col min="61" max="16384" width="9.33203125" style="4"/>
  </cols>
  <sheetData>
    <row r="1" spans="1:62" ht="15" customHeight="1" x14ac:dyDescent="0.25">
      <c r="A1" s="3"/>
      <c r="B1" s="165"/>
      <c r="C1" s="60" t="s">
        <v>152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</row>
    <row r="2" spans="1:62" x14ac:dyDescent="0.2">
      <c r="A2" s="3"/>
      <c r="D2" s="53" t="s">
        <v>1</v>
      </c>
      <c r="E2" s="53" t="s">
        <v>1</v>
      </c>
      <c r="F2" s="53" t="s">
        <v>1</v>
      </c>
      <c r="G2" s="53" t="s">
        <v>1</v>
      </c>
      <c r="H2" s="53" t="s">
        <v>1</v>
      </c>
      <c r="I2" s="53" t="s">
        <v>1</v>
      </c>
      <c r="J2" s="53" t="s">
        <v>1</v>
      </c>
      <c r="K2" s="53" t="s">
        <v>1</v>
      </c>
      <c r="L2" s="53" t="s">
        <v>1</v>
      </c>
      <c r="M2" s="53" t="s">
        <v>1</v>
      </c>
      <c r="N2" s="53" t="s">
        <v>1</v>
      </c>
      <c r="O2" s="53" t="s">
        <v>1</v>
      </c>
      <c r="P2" s="53" t="s">
        <v>1</v>
      </c>
      <c r="Q2" s="53" t="s">
        <v>1</v>
      </c>
      <c r="R2" s="53" t="s">
        <v>1</v>
      </c>
      <c r="S2" s="53" t="s">
        <v>1</v>
      </c>
      <c r="T2" s="53" t="s">
        <v>1</v>
      </c>
      <c r="U2" s="53" t="s">
        <v>1</v>
      </c>
      <c r="V2" s="53" t="s">
        <v>1</v>
      </c>
      <c r="W2" s="53" t="s">
        <v>1</v>
      </c>
      <c r="X2" s="53" t="s">
        <v>1</v>
      </c>
      <c r="Y2" s="53" t="s">
        <v>1</v>
      </c>
      <c r="Z2" s="53" t="s">
        <v>1</v>
      </c>
      <c r="AA2" s="53" t="s">
        <v>1</v>
      </c>
      <c r="AB2" s="53" t="s">
        <v>1</v>
      </c>
      <c r="AC2" s="53" t="s">
        <v>1</v>
      </c>
      <c r="AD2" s="53" t="s">
        <v>1</v>
      </c>
      <c r="AE2" s="53" t="s">
        <v>1</v>
      </c>
      <c r="AF2" s="53" t="s">
        <v>1</v>
      </c>
      <c r="AG2" s="53" t="s">
        <v>1</v>
      </c>
      <c r="AH2" s="53" t="s">
        <v>1</v>
      </c>
      <c r="AI2" s="53" t="s">
        <v>1</v>
      </c>
      <c r="AJ2" s="53" t="s">
        <v>1</v>
      </c>
      <c r="AK2" s="53" t="s">
        <v>1</v>
      </c>
      <c r="AL2" s="53" t="s">
        <v>1</v>
      </c>
      <c r="AM2" s="53" t="s">
        <v>1</v>
      </c>
      <c r="AN2" s="53" t="s">
        <v>1</v>
      </c>
      <c r="AO2" s="53" t="s">
        <v>1</v>
      </c>
      <c r="AP2" s="53" t="s">
        <v>1</v>
      </c>
      <c r="AQ2" s="53" t="s">
        <v>1</v>
      </c>
      <c r="AR2" s="53" t="s">
        <v>1</v>
      </c>
      <c r="AS2" s="53" t="s">
        <v>1</v>
      </c>
      <c r="AT2" s="53" t="s">
        <v>1</v>
      </c>
      <c r="AU2" s="53" t="s">
        <v>1</v>
      </c>
      <c r="AV2" s="53" t="s">
        <v>1</v>
      </c>
      <c r="AW2" s="53" t="s">
        <v>1</v>
      </c>
      <c r="AX2" s="53" t="s">
        <v>1</v>
      </c>
    </row>
    <row r="3" spans="1:62" s="51" customFormat="1" x14ac:dyDescent="0.2">
      <c r="A3" s="52"/>
      <c r="C3" s="53" t="s">
        <v>1</v>
      </c>
      <c r="D3" s="119" t="s">
        <v>291</v>
      </c>
      <c r="E3" s="54" t="s">
        <v>292</v>
      </c>
      <c r="F3" s="119" t="s">
        <v>287</v>
      </c>
      <c r="G3" s="54" t="s">
        <v>289</v>
      </c>
      <c r="H3" s="119" t="s">
        <v>286</v>
      </c>
      <c r="I3" s="54" t="s">
        <v>288</v>
      </c>
      <c r="J3" s="119" t="s">
        <v>285</v>
      </c>
      <c r="K3" s="54" t="s">
        <v>279</v>
      </c>
      <c r="L3" s="119" t="s">
        <v>284</v>
      </c>
      <c r="M3" s="54" t="s">
        <v>278</v>
      </c>
      <c r="N3" s="119" t="s">
        <v>283</v>
      </c>
      <c r="O3" s="54" t="s">
        <v>277</v>
      </c>
      <c r="P3" s="119" t="s">
        <v>282</v>
      </c>
      <c r="Q3" s="54" t="s">
        <v>45</v>
      </c>
      <c r="R3" s="119" t="s">
        <v>237</v>
      </c>
      <c r="S3" s="54" t="s">
        <v>29</v>
      </c>
      <c r="T3" s="54" t="s">
        <v>238</v>
      </c>
      <c r="U3" s="54" t="s">
        <v>211</v>
      </c>
      <c r="V3" s="54" t="s">
        <v>280</v>
      </c>
      <c r="W3" s="54" t="s">
        <v>169</v>
      </c>
      <c r="X3" s="54" t="s">
        <v>239</v>
      </c>
      <c r="Y3" s="54" t="s">
        <v>168</v>
      </c>
      <c r="Z3" s="54" t="s">
        <v>281</v>
      </c>
      <c r="AA3" s="54" t="s">
        <v>255</v>
      </c>
      <c r="AB3" s="54" t="s">
        <v>274</v>
      </c>
      <c r="AC3" s="54" t="s">
        <v>304</v>
      </c>
      <c r="AD3" s="54" t="s">
        <v>310</v>
      </c>
      <c r="AE3" s="54" t="s">
        <v>311</v>
      </c>
      <c r="AF3" s="54" t="s">
        <v>353</v>
      </c>
      <c r="AG3" s="54" t="s">
        <v>392</v>
      </c>
      <c r="AH3" s="54" t="s">
        <v>404</v>
      </c>
      <c r="AI3" s="54" t="s">
        <v>411</v>
      </c>
      <c r="AJ3" s="54" t="s">
        <v>415</v>
      </c>
      <c r="AK3" s="54" t="s">
        <v>417</v>
      </c>
      <c r="AL3" s="54" t="s">
        <v>420</v>
      </c>
      <c r="AM3" s="54" t="s">
        <v>432</v>
      </c>
      <c r="AN3" s="54" t="s">
        <v>425</v>
      </c>
      <c r="AO3" s="54" t="s">
        <v>431</v>
      </c>
      <c r="AP3" s="54" t="s">
        <v>435</v>
      </c>
      <c r="AQ3" s="54" t="s">
        <v>453</v>
      </c>
      <c r="AR3" s="54" t="s">
        <v>458</v>
      </c>
      <c r="AS3" s="54" t="s">
        <v>463</v>
      </c>
      <c r="AT3" s="54" t="s">
        <v>468</v>
      </c>
      <c r="AU3" s="54" t="s">
        <v>472</v>
      </c>
      <c r="AV3" s="54" t="s">
        <v>479</v>
      </c>
      <c r="AW3" s="54" t="s">
        <v>488</v>
      </c>
      <c r="AX3" s="54" t="s">
        <v>493</v>
      </c>
      <c r="AY3" s="69" t="s">
        <v>269</v>
      </c>
      <c r="AZ3" s="51" t="s">
        <v>41</v>
      </c>
    </row>
    <row r="4" spans="1:62" s="56" customFormat="1" ht="10.5" x14ac:dyDescent="0.15">
      <c r="A4" s="55"/>
      <c r="B4" s="57"/>
      <c r="C4" s="56" t="s">
        <v>17</v>
      </c>
      <c r="D4" s="58">
        <v>1</v>
      </c>
      <c r="E4" s="58">
        <f>2/1</f>
        <v>2</v>
      </c>
      <c r="F4" s="58">
        <v>1</v>
      </c>
      <c r="G4" s="58">
        <f>2/1</f>
        <v>2</v>
      </c>
      <c r="H4" s="58">
        <v>1</v>
      </c>
      <c r="I4" s="58">
        <f>2/1</f>
        <v>2</v>
      </c>
      <c r="J4" s="58">
        <v>1</v>
      </c>
      <c r="K4" s="58">
        <f>2/1</f>
        <v>2</v>
      </c>
      <c r="L4" s="58">
        <v>1</v>
      </c>
      <c r="M4" s="58">
        <f>2/1</f>
        <v>2</v>
      </c>
      <c r="N4" s="58">
        <v>1</v>
      </c>
      <c r="O4" s="58">
        <f>2/1</f>
        <v>2</v>
      </c>
      <c r="P4" s="58">
        <v>1</v>
      </c>
      <c r="Q4" s="58">
        <f>2/1</f>
        <v>2</v>
      </c>
      <c r="R4" s="58">
        <v>1</v>
      </c>
      <c r="S4" s="58">
        <f>2/1</f>
        <v>2</v>
      </c>
      <c r="T4" s="58">
        <v>1</v>
      </c>
      <c r="U4" s="58">
        <v>4</v>
      </c>
      <c r="V4" s="58">
        <v>2</v>
      </c>
      <c r="W4" s="58">
        <v>1.3333333333333333</v>
      </c>
      <c r="X4" s="58">
        <v>1</v>
      </c>
      <c r="Y4" s="58">
        <v>4</v>
      </c>
      <c r="Z4" s="58">
        <v>2</v>
      </c>
      <c r="AA4" s="58">
        <v>1.3333333333333333</v>
      </c>
      <c r="AB4" s="58">
        <v>1</v>
      </c>
      <c r="AC4" s="58">
        <v>4</v>
      </c>
      <c r="AD4" s="58">
        <v>2</v>
      </c>
      <c r="AE4" s="58">
        <v>1.3333333333333333</v>
      </c>
      <c r="AF4" s="58">
        <v>1</v>
      </c>
      <c r="AG4" s="58">
        <v>4</v>
      </c>
      <c r="AH4" s="58">
        <v>2</v>
      </c>
      <c r="AI4" s="58">
        <v>1.3333333333333333</v>
      </c>
      <c r="AJ4" s="58">
        <v>1</v>
      </c>
      <c r="AK4" s="58">
        <v>4</v>
      </c>
      <c r="AL4" s="58">
        <v>2</v>
      </c>
      <c r="AM4" s="58">
        <v>1.3333333333333333</v>
      </c>
      <c r="AN4" s="58">
        <v>1</v>
      </c>
      <c r="AO4" s="58">
        <v>4</v>
      </c>
      <c r="AP4" s="58">
        <v>2</v>
      </c>
      <c r="AQ4" s="58">
        <v>1.3333333333333333</v>
      </c>
      <c r="AR4" s="58">
        <v>1</v>
      </c>
      <c r="AS4" s="58">
        <v>4</v>
      </c>
      <c r="AT4" s="58">
        <v>2</v>
      </c>
      <c r="AU4" s="58">
        <v>1.3333333333333333</v>
      </c>
      <c r="AV4" s="58">
        <v>1</v>
      </c>
      <c r="AW4" s="58">
        <v>4</v>
      </c>
      <c r="AX4" s="58">
        <v>2</v>
      </c>
      <c r="AY4" s="58"/>
      <c r="AZ4" s="58"/>
      <c r="BA4" s="57"/>
      <c r="BB4" s="57"/>
      <c r="BC4" s="57"/>
      <c r="BD4" s="57"/>
      <c r="BE4" s="57"/>
      <c r="BF4" s="57"/>
      <c r="BG4" s="57"/>
      <c r="BH4" s="57"/>
      <c r="BI4" s="57"/>
      <c r="BJ4" s="57"/>
    </row>
    <row r="5" spans="1:62" s="56" customFormat="1" x14ac:dyDescent="0.2">
      <c r="A5" s="55"/>
      <c r="B5" s="57"/>
      <c r="C5" s="105" t="s">
        <v>230</v>
      </c>
      <c r="D5" s="58"/>
      <c r="E5" s="58"/>
      <c r="F5" s="58">
        <v>1</v>
      </c>
      <c r="G5" s="58">
        <v>0.5</v>
      </c>
      <c r="H5" s="58">
        <v>1</v>
      </c>
      <c r="I5" s="58">
        <v>0.5</v>
      </c>
      <c r="J5" s="58">
        <v>1</v>
      </c>
      <c r="K5" s="58">
        <v>0.5</v>
      </c>
      <c r="L5" s="58">
        <v>1</v>
      </c>
      <c r="M5" s="58">
        <v>0.5</v>
      </c>
      <c r="N5" s="58">
        <v>1</v>
      </c>
      <c r="O5" s="58">
        <v>0.5</v>
      </c>
      <c r="P5" s="58">
        <v>1</v>
      </c>
      <c r="Q5" s="58">
        <v>0.5</v>
      </c>
      <c r="R5" s="58">
        <v>1</v>
      </c>
      <c r="S5" s="58">
        <v>0.5</v>
      </c>
      <c r="T5" s="58">
        <v>1</v>
      </c>
      <c r="U5" s="58">
        <v>0.25</v>
      </c>
      <c r="V5" s="58">
        <v>0.5</v>
      </c>
      <c r="W5" s="58">
        <v>0.75</v>
      </c>
      <c r="X5" s="58">
        <v>1</v>
      </c>
      <c r="Y5" s="58">
        <v>0.25</v>
      </c>
      <c r="Z5" s="58">
        <v>0.5</v>
      </c>
      <c r="AA5" s="58">
        <v>0.75</v>
      </c>
      <c r="AB5" s="58">
        <v>1</v>
      </c>
      <c r="AC5" s="58">
        <v>0.25</v>
      </c>
      <c r="AD5" s="58">
        <v>0.5</v>
      </c>
      <c r="AE5" s="58">
        <v>0.75</v>
      </c>
      <c r="AF5" s="58">
        <v>1</v>
      </c>
      <c r="AG5" s="58">
        <v>0.25</v>
      </c>
      <c r="AH5" s="58">
        <v>0.5</v>
      </c>
      <c r="AI5" s="58">
        <v>0.75</v>
      </c>
      <c r="AJ5" s="58">
        <v>1</v>
      </c>
      <c r="AK5" s="58">
        <v>0.25</v>
      </c>
      <c r="AL5" s="58">
        <v>0.5</v>
      </c>
      <c r="AM5" s="58">
        <v>0.75</v>
      </c>
      <c r="AN5" s="58">
        <v>1</v>
      </c>
      <c r="AO5" s="58">
        <v>0.25</v>
      </c>
      <c r="AP5" s="58">
        <v>0.5</v>
      </c>
      <c r="AQ5" s="58">
        <v>0.75</v>
      </c>
      <c r="AR5" s="58">
        <v>1</v>
      </c>
      <c r="AS5" s="58">
        <v>0.25</v>
      </c>
      <c r="AT5" s="58">
        <v>0.5</v>
      </c>
      <c r="AU5" s="58">
        <v>0.75</v>
      </c>
      <c r="AV5" s="58">
        <v>1</v>
      </c>
      <c r="AW5" s="58">
        <v>0.25</v>
      </c>
      <c r="AX5" s="58">
        <v>0.5</v>
      </c>
      <c r="AY5" s="68"/>
      <c r="BA5" s="57"/>
      <c r="BB5" s="57"/>
      <c r="BC5" s="57"/>
      <c r="BD5" s="57"/>
      <c r="BE5" s="57"/>
      <c r="BF5" s="57"/>
      <c r="BG5" s="57"/>
      <c r="BH5" s="57"/>
      <c r="BI5" s="57"/>
      <c r="BJ5" s="57"/>
    </row>
    <row r="6" spans="1:62" s="5" customFormat="1" x14ac:dyDescent="0.2">
      <c r="B6" s="42">
        <v>1</v>
      </c>
      <c r="C6" s="41" t="s">
        <v>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2"/>
      <c r="BB6" s="42"/>
      <c r="BC6" s="42"/>
      <c r="BD6" s="42"/>
      <c r="BE6" s="42"/>
      <c r="BF6" s="42"/>
      <c r="BG6" s="42"/>
      <c r="BH6" s="42"/>
      <c r="BI6" s="42"/>
      <c r="BJ6" s="42"/>
    </row>
    <row r="7" spans="1:62" x14ac:dyDescent="0.2">
      <c r="AF7" s="19"/>
      <c r="AJ7" s="19"/>
      <c r="AN7" s="19"/>
      <c r="AP7" s="19"/>
      <c r="AQ7" s="19"/>
      <c r="AR7" s="19"/>
      <c r="AS7" s="19"/>
      <c r="AT7" s="19"/>
      <c r="AU7" s="19"/>
      <c r="AV7" s="19"/>
      <c r="AW7" s="19"/>
      <c r="AX7" s="19"/>
      <c r="AY7" s="243"/>
      <c r="BA7" s="9"/>
      <c r="BB7" s="9"/>
      <c r="BC7" s="9"/>
      <c r="BD7" s="9"/>
      <c r="BE7" s="9"/>
      <c r="BF7" s="9"/>
      <c r="BG7" s="9"/>
      <c r="BH7" s="9"/>
      <c r="BI7" s="9"/>
      <c r="BJ7" s="9"/>
    </row>
    <row r="8" spans="1:62" x14ac:dyDescent="0.2">
      <c r="C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243"/>
      <c r="BA8" s="9"/>
      <c r="BB8" s="9"/>
      <c r="BC8" s="9"/>
      <c r="BD8" s="9"/>
      <c r="BE8" s="9"/>
      <c r="BF8" s="9"/>
      <c r="BG8" s="9"/>
      <c r="BH8" s="9"/>
      <c r="BI8" s="9"/>
      <c r="BJ8" s="9"/>
    </row>
    <row r="9" spans="1:62" x14ac:dyDescent="0.2">
      <c r="C9" s="4" t="s">
        <v>47</v>
      </c>
      <c r="D9" s="8"/>
      <c r="E9" s="8"/>
      <c r="F9" s="8">
        <v>5318.3209999999999</v>
      </c>
      <c r="G9" s="8">
        <v>1991.499</v>
      </c>
      <c r="H9" s="8">
        <v>4338.0439999999999</v>
      </c>
      <c r="I9" s="8">
        <v>6467.2809999999999</v>
      </c>
      <c r="J9" s="8">
        <v>9422.509</v>
      </c>
      <c r="K9" s="8">
        <v>8670.7939999999999</v>
      </c>
      <c r="L9" s="8">
        <v>10687.67</v>
      </c>
      <c r="M9" s="8">
        <v>10336.733</v>
      </c>
      <c r="N9" s="8">
        <v>25426</v>
      </c>
      <c r="O9" s="8">
        <v>16141.526</v>
      </c>
      <c r="P9" s="8">
        <v>52528</v>
      </c>
      <c r="Q9" s="8">
        <v>33925</v>
      </c>
      <c r="R9" s="8">
        <v>21465</v>
      </c>
      <c r="S9" s="7"/>
      <c r="T9" s="8">
        <v>39962</v>
      </c>
      <c r="U9" s="8">
        <v>50002</v>
      </c>
      <c r="V9" s="8">
        <v>89407</v>
      </c>
      <c r="W9" s="8">
        <v>71207</v>
      </c>
      <c r="X9" s="8">
        <v>109817</v>
      </c>
      <c r="Y9" s="8">
        <v>128692</v>
      </c>
      <c r="Z9" s="8">
        <v>151476</v>
      </c>
      <c r="AA9" s="8">
        <v>156137</v>
      </c>
      <c r="AB9" s="8">
        <v>107761</v>
      </c>
      <c r="AC9" s="8">
        <v>136816</v>
      </c>
      <c r="AD9" s="8">
        <v>119973</v>
      </c>
      <c r="AE9" s="8">
        <v>130651</v>
      </c>
      <c r="AF9" s="8">
        <v>148886</v>
      </c>
      <c r="AG9" s="8">
        <v>138476</v>
      </c>
      <c r="AH9" s="8">
        <v>185307</v>
      </c>
      <c r="AI9" s="8">
        <v>174869</v>
      </c>
      <c r="AJ9" s="8">
        <v>306755</v>
      </c>
      <c r="AK9" s="8">
        <v>124386</v>
      </c>
      <c r="AL9" s="8">
        <v>101989</v>
      </c>
      <c r="AM9" s="8">
        <v>63751</v>
      </c>
      <c r="AN9" s="8">
        <v>152581</v>
      </c>
      <c r="AO9" s="8">
        <v>139891</v>
      </c>
      <c r="AP9" s="8">
        <v>204218</v>
      </c>
      <c r="AQ9" s="8">
        <v>440738</v>
      </c>
      <c r="AR9" s="8">
        <v>625989</v>
      </c>
      <c r="AS9" s="8">
        <v>659782</v>
      </c>
      <c r="AT9" s="8">
        <v>693804</v>
      </c>
      <c r="AU9" s="8">
        <v>588734</v>
      </c>
      <c r="AV9" s="8">
        <v>538634</v>
      </c>
      <c r="AW9" s="8">
        <v>417459</v>
      </c>
      <c r="AX9" s="8">
        <v>380730</v>
      </c>
      <c r="AY9" s="260"/>
      <c r="BA9" s="9"/>
      <c r="BB9" s="9"/>
      <c r="BC9" s="9"/>
      <c r="BD9" s="9"/>
      <c r="BE9" s="9"/>
      <c r="BF9" s="9"/>
      <c r="BG9" s="9"/>
      <c r="BH9" s="9"/>
      <c r="BI9" s="9"/>
      <c r="BJ9" s="9"/>
    </row>
    <row r="10" spans="1:62" x14ac:dyDescent="0.2">
      <c r="C10" s="4" t="s">
        <v>48</v>
      </c>
      <c r="D10" s="8"/>
      <c r="E10" s="8"/>
      <c r="F10" s="8">
        <v>220.18100000000001</v>
      </c>
      <c r="G10" s="8">
        <v>417.12</v>
      </c>
      <c r="H10" s="8">
        <v>523.08799999999997</v>
      </c>
      <c r="I10" s="8">
        <v>637.02200000000005</v>
      </c>
      <c r="J10" s="8">
        <v>776.56200000000001</v>
      </c>
      <c r="K10" s="8">
        <v>880.79399999999998</v>
      </c>
      <c r="L10" s="8">
        <v>772.53599999999994</v>
      </c>
      <c r="M10" s="8">
        <v>993.37</v>
      </c>
      <c r="N10" s="8">
        <v>1072</v>
      </c>
      <c r="O10" s="8">
        <v>1132.491</v>
      </c>
      <c r="P10" s="8">
        <v>897</v>
      </c>
      <c r="Q10" s="8">
        <v>1921</v>
      </c>
      <c r="R10" s="8">
        <v>3017</v>
      </c>
      <c r="S10" s="7"/>
      <c r="T10" s="8">
        <v>2975</v>
      </c>
      <c r="U10" s="8">
        <v>3410</v>
      </c>
      <c r="V10" s="8">
        <v>4962</v>
      </c>
      <c r="W10" s="8">
        <v>5220</v>
      </c>
      <c r="X10" s="8">
        <v>4991</v>
      </c>
      <c r="Y10" s="8">
        <v>5148</v>
      </c>
      <c r="Z10" s="8">
        <v>5352</v>
      </c>
      <c r="AA10" s="8">
        <v>5700</v>
      </c>
      <c r="AB10" s="8">
        <v>6447</v>
      </c>
      <c r="AC10" s="8">
        <v>7442</v>
      </c>
      <c r="AD10" s="8">
        <v>7051</v>
      </c>
      <c r="AE10" s="8">
        <v>7582</v>
      </c>
      <c r="AF10" s="8">
        <v>7559</v>
      </c>
      <c r="AG10" s="8">
        <v>9466</v>
      </c>
      <c r="AH10" s="8">
        <v>11799</v>
      </c>
      <c r="AI10" s="8">
        <v>11875</v>
      </c>
      <c r="AJ10" s="8">
        <v>12961</v>
      </c>
      <c r="AK10" s="8">
        <v>2266</v>
      </c>
      <c r="AL10" s="8">
        <v>2263</v>
      </c>
      <c r="AM10" s="8">
        <v>2263</v>
      </c>
      <c r="AN10" s="8">
        <v>2263</v>
      </c>
      <c r="AO10" s="8">
        <v>4523</v>
      </c>
      <c r="AP10" s="8">
        <v>4523</v>
      </c>
      <c r="AQ10" s="8">
        <v>4523</v>
      </c>
      <c r="AR10" s="8">
        <v>4523</v>
      </c>
      <c r="AS10" s="8">
        <v>11353</v>
      </c>
      <c r="AT10" s="8">
        <v>11353</v>
      </c>
      <c r="AU10" s="8">
        <v>11353</v>
      </c>
      <c r="AV10" s="8">
        <v>11353</v>
      </c>
      <c r="AW10" s="8">
        <v>12034</v>
      </c>
      <c r="AX10" s="8">
        <v>12031</v>
      </c>
      <c r="AY10" s="132"/>
      <c r="BA10" s="9"/>
      <c r="BB10" s="9"/>
      <c r="BC10" s="9"/>
      <c r="BD10" s="9"/>
      <c r="BE10" s="9"/>
      <c r="BF10" s="9"/>
      <c r="BG10" s="9"/>
      <c r="BH10" s="9"/>
      <c r="BI10" s="9"/>
      <c r="BJ10" s="9"/>
    </row>
    <row r="11" spans="1:62" x14ac:dyDescent="0.2">
      <c r="C11" s="4" t="s">
        <v>49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BA11" s="9"/>
      <c r="BB11" s="9"/>
      <c r="BC11" s="9"/>
      <c r="BD11" s="9"/>
      <c r="BE11" s="9"/>
      <c r="BF11" s="9"/>
      <c r="BG11" s="9"/>
      <c r="BH11" s="9"/>
      <c r="BI11" s="9"/>
      <c r="BJ11" s="9"/>
    </row>
    <row r="12" spans="1:62" x14ac:dyDescent="0.2">
      <c r="C12" s="10" t="s">
        <v>50</v>
      </c>
      <c r="D12" s="8"/>
      <c r="E12" s="8"/>
      <c r="F12" s="8">
        <v>100.613</v>
      </c>
      <c r="G12" s="8">
        <v>126.37</v>
      </c>
      <c r="H12" s="8">
        <v>75.013999999999996</v>
      </c>
      <c r="I12" s="8">
        <v>38.613</v>
      </c>
      <c r="J12" s="8">
        <v>16.456</v>
      </c>
      <c r="K12" s="8">
        <v>413.95499999999998</v>
      </c>
      <c r="L12" s="8">
        <v>2592.7190000000001</v>
      </c>
      <c r="M12" s="8">
        <v>90.11</v>
      </c>
      <c r="N12" s="8">
        <v>2586</v>
      </c>
      <c r="O12" s="8">
        <v>1208.521</v>
      </c>
      <c r="P12" s="8">
        <v>21842</v>
      </c>
      <c r="Q12" s="8">
        <v>575</v>
      </c>
      <c r="R12" s="8">
        <v>384</v>
      </c>
      <c r="S12" s="7">
        <v>1595</v>
      </c>
      <c r="T12" s="8">
        <v>9338</v>
      </c>
      <c r="U12" s="8">
        <v>6813</v>
      </c>
      <c r="V12" s="8">
        <v>8300</v>
      </c>
      <c r="W12" s="8">
        <v>28317</v>
      </c>
      <c r="X12" s="8">
        <v>35614</v>
      </c>
      <c r="Y12" s="8">
        <v>26637</v>
      </c>
      <c r="Z12" s="8">
        <v>24888</v>
      </c>
      <c r="AA12" s="8">
        <v>29777</v>
      </c>
      <c r="AB12" s="8">
        <v>25326</v>
      </c>
      <c r="AC12" s="8">
        <v>49949</v>
      </c>
      <c r="AD12" s="8">
        <v>43429</v>
      </c>
      <c r="AE12" s="8">
        <v>58616</v>
      </c>
      <c r="AF12" s="8">
        <v>41993</v>
      </c>
      <c r="AG12" s="8">
        <v>47768</v>
      </c>
      <c r="AH12" s="8">
        <v>46979</v>
      </c>
      <c r="AI12" s="8">
        <v>39548</v>
      </c>
      <c r="AJ12" s="8">
        <v>43406</v>
      </c>
      <c r="AK12" s="8">
        <v>36856</v>
      </c>
      <c r="AL12" s="8">
        <v>29026</v>
      </c>
      <c r="AM12" s="8">
        <v>23083</v>
      </c>
      <c r="AN12" s="8">
        <v>20747</v>
      </c>
      <c r="AO12" s="8">
        <v>20162</v>
      </c>
      <c r="AP12" s="8">
        <v>19671</v>
      </c>
      <c r="AQ12" s="8">
        <v>19317</v>
      </c>
      <c r="AR12" s="8">
        <v>20715</v>
      </c>
      <c r="AS12" s="8">
        <v>21860</v>
      </c>
      <c r="AT12" s="8">
        <v>21936</v>
      </c>
      <c r="AU12" s="8">
        <v>16491</v>
      </c>
      <c r="AV12" s="8">
        <v>21712</v>
      </c>
      <c r="AW12" s="8">
        <v>16008</v>
      </c>
      <c r="AX12" s="8">
        <v>4638</v>
      </c>
    </row>
    <row r="13" spans="1:62" x14ac:dyDescent="0.2">
      <c r="C13" s="10" t="s">
        <v>51</v>
      </c>
      <c r="D13" s="8"/>
      <c r="E13" s="8"/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12279</v>
      </c>
      <c r="O13" s="8">
        <v>8973.6650000000009</v>
      </c>
      <c r="P13" s="8">
        <v>1899</v>
      </c>
      <c r="Q13" s="8">
        <v>596</v>
      </c>
      <c r="R13" s="8">
        <v>0</v>
      </c>
      <c r="S13" s="7">
        <v>0</v>
      </c>
      <c r="T13" s="8">
        <v>0</v>
      </c>
      <c r="U13" s="8">
        <v>0</v>
      </c>
      <c r="V13" s="8">
        <v>0</v>
      </c>
      <c r="W13" s="8">
        <v>9461</v>
      </c>
      <c r="X13" s="8">
        <v>12921</v>
      </c>
      <c r="Y13" s="8">
        <v>10522</v>
      </c>
      <c r="Z13" s="28">
        <v>10101</v>
      </c>
      <c r="AA13" s="28">
        <v>3585</v>
      </c>
      <c r="AB13" s="8">
        <v>10535</v>
      </c>
      <c r="AC13" s="8">
        <v>10919</v>
      </c>
      <c r="AD13" s="8">
        <v>8251</v>
      </c>
      <c r="AE13" s="8">
        <v>706</v>
      </c>
      <c r="AF13" s="8">
        <v>9122</v>
      </c>
      <c r="AG13" s="8">
        <v>0</v>
      </c>
      <c r="AH13" s="8">
        <v>7756</v>
      </c>
      <c r="AI13" s="8">
        <v>2369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135"/>
    </row>
    <row r="14" spans="1:62" x14ac:dyDescent="0.2">
      <c r="C14" s="9" t="s">
        <v>52</v>
      </c>
      <c r="D14" s="8"/>
      <c r="E14" s="8"/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/>
      <c r="Q14" s="8"/>
      <c r="R14" s="8"/>
      <c r="S14" s="7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62" x14ac:dyDescent="0.2">
      <c r="C15" s="27" t="s">
        <v>50</v>
      </c>
      <c r="D15" s="8"/>
      <c r="E15" s="8"/>
      <c r="F15" s="8">
        <v>7920.3829999999998</v>
      </c>
      <c r="G15" s="8">
        <v>5977.6779999999999</v>
      </c>
      <c r="H15" s="8">
        <v>9954.6689999999999</v>
      </c>
      <c r="I15" s="8">
        <v>4934.3019999999997</v>
      </c>
      <c r="J15" s="8">
        <v>9502.65</v>
      </c>
      <c r="K15" s="8">
        <v>8671.6170000000002</v>
      </c>
      <c r="L15" s="8">
        <v>16621.12</v>
      </c>
      <c r="M15" s="8">
        <v>22340.357</v>
      </c>
      <c r="N15" s="8">
        <v>9103</v>
      </c>
      <c r="O15" s="8">
        <v>12259.312</v>
      </c>
      <c r="P15" s="8">
        <v>36854</v>
      </c>
      <c r="Q15" s="8">
        <v>58138</v>
      </c>
      <c r="R15" s="8">
        <v>91592</v>
      </c>
      <c r="S15" s="7">
        <v>109424</v>
      </c>
      <c r="T15" s="8">
        <v>140043</v>
      </c>
      <c r="U15" s="8">
        <v>203488</v>
      </c>
      <c r="V15" s="8">
        <v>200946</v>
      </c>
      <c r="W15" s="8">
        <v>123923</v>
      </c>
      <c r="X15" s="8">
        <v>114261</v>
      </c>
      <c r="Y15" s="8">
        <v>165479</v>
      </c>
      <c r="Z15" s="8">
        <v>163334</v>
      </c>
      <c r="AA15" s="8">
        <v>193698</v>
      </c>
      <c r="AB15" s="8">
        <v>191906</v>
      </c>
      <c r="AC15" s="8">
        <v>188481</v>
      </c>
      <c r="AD15" s="8">
        <v>303197</v>
      </c>
      <c r="AE15" s="8">
        <v>351491</v>
      </c>
      <c r="AF15" s="8">
        <v>229395</v>
      </c>
      <c r="AG15" s="8">
        <v>318217</v>
      </c>
      <c r="AH15" s="8">
        <v>236634</v>
      </c>
      <c r="AI15" s="8">
        <v>199074</v>
      </c>
      <c r="AJ15" s="8">
        <v>147373</v>
      </c>
      <c r="AK15" s="8">
        <v>376087</v>
      </c>
      <c r="AL15" s="8">
        <v>237854</v>
      </c>
      <c r="AM15" s="8">
        <v>309923</v>
      </c>
      <c r="AN15" s="8">
        <v>385378</v>
      </c>
      <c r="AO15" s="8">
        <v>441390</v>
      </c>
      <c r="AP15" s="8">
        <v>423816</v>
      </c>
      <c r="AQ15" s="8">
        <v>439478</v>
      </c>
      <c r="AR15" s="8">
        <v>461489</v>
      </c>
      <c r="AS15" s="8">
        <v>377100</v>
      </c>
      <c r="AT15" s="8">
        <v>387181</v>
      </c>
      <c r="AU15" s="8">
        <v>385631</v>
      </c>
      <c r="AV15" s="8">
        <v>511799</v>
      </c>
      <c r="AW15" s="8">
        <v>469699</v>
      </c>
      <c r="AX15" s="8">
        <v>477465</v>
      </c>
    </row>
    <row r="16" spans="1:62" x14ac:dyDescent="0.2">
      <c r="C16" s="27" t="s">
        <v>51</v>
      </c>
      <c r="D16" s="8"/>
      <c r="E16" s="8"/>
      <c r="F16" s="8">
        <v>5779.7719999999999</v>
      </c>
      <c r="G16" s="8">
        <v>6654.9989999999998</v>
      </c>
      <c r="H16" s="8">
        <v>4392.817</v>
      </c>
      <c r="I16" s="8">
        <v>8525.31</v>
      </c>
      <c r="J16" s="8">
        <v>21297.295999999998</v>
      </c>
      <c r="K16" s="8">
        <v>26296.177</v>
      </c>
      <c r="L16" s="8">
        <v>27710.335999999999</v>
      </c>
      <c r="M16" s="8">
        <v>40538.688999999998</v>
      </c>
      <c r="N16" s="8">
        <v>28980</v>
      </c>
      <c r="O16" s="8">
        <v>114452.105</v>
      </c>
      <c r="P16" s="8">
        <v>169953</v>
      </c>
      <c r="Q16" s="8">
        <v>240098</v>
      </c>
      <c r="R16" s="8">
        <v>193626</v>
      </c>
      <c r="S16" s="7">
        <v>198898</v>
      </c>
      <c r="T16" s="8">
        <v>209098</v>
      </c>
      <c r="U16" s="8">
        <v>110376</v>
      </c>
      <c r="V16" s="8">
        <v>145912</v>
      </c>
      <c r="W16" s="8">
        <v>59472</v>
      </c>
      <c r="X16" s="8">
        <v>110779</v>
      </c>
      <c r="Y16" s="8">
        <v>50975</v>
      </c>
      <c r="Z16" s="28">
        <v>54922</v>
      </c>
      <c r="AA16" s="28">
        <v>32344</v>
      </c>
      <c r="AB16" s="8">
        <v>57696</v>
      </c>
      <c r="AC16" s="8">
        <v>111096</v>
      </c>
      <c r="AD16" s="8">
        <v>200683</v>
      </c>
      <c r="AE16" s="8">
        <v>128503</v>
      </c>
      <c r="AF16" s="8">
        <v>135258</v>
      </c>
      <c r="AG16" s="8">
        <v>49994</v>
      </c>
      <c r="AH16" s="8">
        <v>112064</v>
      </c>
      <c r="AI16" s="8">
        <v>139780</v>
      </c>
      <c r="AJ16" s="8">
        <v>171744</v>
      </c>
      <c r="AK16" s="8">
        <v>0</v>
      </c>
      <c r="AL16" s="8">
        <v>72849</v>
      </c>
      <c r="AM16" s="8">
        <v>38419</v>
      </c>
      <c r="AN16" s="8">
        <v>9937</v>
      </c>
      <c r="AO16" s="8">
        <v>0</v>
      </c>
      <c r="AP16" s="8">
        <v>1</v>
      </c>
      <c r="AQ16" s="8">
        <v>1</v>
      </c>
      <c r="AR16" s="8">
        <v>9378</v>
      </c>
      <c r="AS16" s="8">
        <v>109991</v>
      </c>
      <c r="AT16" s="8">
        <v>84761</v>
      </c>
      <c r="AU16" s="8">
        <v>103112</v>
      </c>
      <c r="AV16" s="8">
        <v>30521</v>
      </c>
      <c r="AW16" s="8">
        <v>32531</v>
      </c>
      <c r="AX16" s="8">
        <v>11565</v>
      </c>
      <c r="AY16" s="135"/>
    </row>
    <row r="17" spans="3:54" x14ac:dyDescent="0.2">
      <c r="C17" s="9" t="s">
        <v>156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v>2631</v>
      </c>
      <c r="Q17" s="8">
        <v>3654</v>
      </c>
      <c r="R17" s="8">
        <v>7086</v>
      </c>
      <c r="S17" s="7"/>
      <c r="T17" s="8">
        <v>3935</v>
      </c>
      <c r="U17" s="8">
        <v>3765</v>
      </c>
      <c r="V17" s="8">
        <v>58548</v>
      </c>
      <c r="W17" s="8">
        <v>34689</v>
      </c>
      <c r="X17" s="8">
        <v>691</v>
      </c>
      <c r="Y17" s="8">
        <v>691</v>
      </c>
      <c r="Z17" s="8">
        <v>691</v>
      </c>
      <c r="AA17" s="8">
        <v>1021</v>
      </c>
      <c r="AB17" s="8">
        <v>1021</v>
      </c>
      <c r="AC17" s="8">
        <v>1188</v>
      </c>
      <c r="AD17" s="8">
        <v>621</v>
      </c>
      <c r="AE17" s="8">
        <v>621</v>
      </c>
      <c r="AF17" s="8">
        <v>634</v>
      </c>
      <c r="AG17" s="8">
        <v>634</v>
      </c>
      <c r="AH17" s="8">
        <v>2121</v>
      </c>
      <c r="AI17" s="8">
        <v>12423</v>
      </c>
      <c r="AJ17" s="8">
        <v>11696</v>
      </c>
      <c r="AK17" s="8">
        <v>4751</v>
      </c>
      <c r="AL17" s="8">
        <v>2175</v>
      </c>
      <c r="AM17" s="8">
        <v>1477</v>
      </c>
      <c r="AN17" s="8">
        <v>1812</v>
      </c>
      <c r="AO17" s="8">
        <v>1982</v>
      </c>
      <c r="AP17" s="8">
        <v>1833</v>
      </c>
      <c r="AQ17" s="8">
        <v>1150</v>
      </c>
      <c r="AR17" s="8">
        <v>628</v>
      </c>
      <c r="AS17" s="8">
        <v>816</v>
      </c>
      <c r="AT17" s="8">
        <v>1379</v>
      </c>
      <c r="AU17" s="8">
        <v>1779</v>
      </c>
      <c r="AV17" s="8">
        <v>1348</v>
      </c>
      <c r="AW17" s="8">
        <v>1464</v>
      </c>
      <c r="AX17" s="8">
        <v>1601</v>
      </c>
    </row>
    <row r="18" spans="3:54" x14ac:dyDescent="0.2">
      <c r="C18" s="9" t="s">
        <v>295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7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3:54" x14ac:dyDescent="0.2">
      <c r="C19" s="27" t="s">
        <v>50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7"/>
      <c r="T19" s="8"/>
      <c r="U19" s="8"/>
      <c r="V19" s="8"/>
      <c r="W19" s="8"/>
      <c r="X19" s="8"/>
      <c r="Y19" s="8"/>
      <c r="Z19" s="8"/>
      <c r="AA19" s="8"/>
      <c r="AB19" s="8">
        <v>76208</v>
      </c>
      <c r="AC19" s="8">
        <v>1587</v>
      </c>
      <c r="AD19" s="8">
        <v>11661</v>
      </c>
      <c r="AE19" s="8">
        <v>47747</v>
      </c>
      <c r="AF19" s="8">
        <v>154213</v>
      </c>
      <c r="AG19" s="8">
        <v>168734</v>
      </c>
      <c r="AH19" s="8">
        <v>166046</v>
      </c>
      <c r="AI19" s="8">
        <v>151728</v>
      </c>
      <c r="AJ19" s="8">
        <v>131269</v>
      </c>
      <c r="AK19" s="8">
        <v>127691</v>
      </c>
      <c r="AL19" s="8">
        <v>135596</v>
      </c>
      <c r="AM19" s="8">
        <v>101671</v>
      </c>
      <c r="AN19" s="8">
        <v>124430</v>
      </c>
      <c r="AO19" s="8">
        <v>102431</v>
      </c>
      <c r="AP19" s="8">
        <v>88596</v>
      </c>
      <c r="AQ19" s="8">
        <v>90803</v>
      </c>
      <c r="AR19" s="8">
        <v>84799</v>
      </c>
      <c r="AS19" s="8">
        <v>81722</v>
      </c>
      <c r="AT19" s="8">
        <v>74417</v>
      </c>
      <c r="AU19" s="8">
        <v>69656</v>
      </c>
      <c r="AV19" s="8">
        <v>67907</v>
      </c>
      <c r="AW19" s="8">
        <v>65441</v>
      </c>
      <c r="AX19" s="8">
        <v>66721</v>
      </c>
    </row>
    <row r="20" spans="3:54" x14ac:dyDescent="0.2">
      <c r="C20" s="27" t="s">
        <v>51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  <c r="T20" s="8"/>
      <c r="U20" s="8"/>
      <c r="V20" s="8"/>
      <c r="W20" s="8"/>
      <c r="X20" s="8"/>
      <c r="Y20" s="8"/>
      <c r="Z20" s="8"/>
      <c r="AA20" s="8"/>
      <c r="AB20" s="8">
        <v>36218</v>
      </c>
      <c r="AC20" s="8">
        <v>102850</v>
      </c>
      <c r="AD20" s="8">
        <v>93465</v>
      </c>
      <c r="AE20" s="8">
        <v>109130</v>
      </c>
      <c r="AF20" s="8">
        <v>1651</v>
      </c>
      <c r="AG20" s="8">
        <v>233</v>
      </c>
      <c r="AH20" s="8">
        <v>14177</v>
      </c>
      <c r="AI20" s="8">
        <v>8366</v>
      </c>
      <c r="AJ20" s="8">
        <v>8033</v>
      </c>
      <c r="AK20" s="8">
        <v>5802</v>
      </c>
      <c r="AL20" s="8">
        <v>4510</v>
      </c>
      <c r="AM20" s="8">
        <v>28782</v>
      </c>
      <c r="AN20" s="8">
        <v>5197</v>
      </c>
      <c r="AO20" s="8">
        <v>16989</v>
      </c>
      <c r="AP20" s="8">
        <v>954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469</v>
      </c>
      <c r="AX20" s="8">
        <v>0</v>
      </c>
    </row>
    <row r="21" spans="3:54" hidden="1" x14ac:dyDescent="0.2">
      <c r="C21" s="9" t="s">
        <v>53</v>
      </c>
      <c r="D21" s="8"/>
      <c r="E21" s="8"/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6408.6790000000001</v>
      </c>
      <c r="P21" s="8"/>
      <c r="Q21" s="8"/>
      <c r="R21" s="8"/>
      <c r="S21" s="7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3:54" x14ac:dyDescent="0.2">
      <c r="C22" s="9" t="s">
        <v>54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7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3:54" x14ac:dyDescent="0.2">
      <c r="C23" s="27" t="s">
        <v>50</v>
      </c>
      <c r="D23" s="8"/>
      <c r="E23" s="8"/>
      <c r="F23" s="8">
        <v>21742.985000000001</v>
      </c>
      <c r="G23" s="8">
        <v>28109.317999999999</v>
      </c>
      <c r="H23" s="8">
        <v>34782.936000000002</v>
      </c>
      <c r="I23" s="8">
        <v>43718.96</v>
      </c>
      <c r="J23" s="8">
        <v>48414.292000000001</v>
      </c>
      <c r="K23" s="8">
        <v>55816.167999999998</v>
      </c>
      <c r="L23" s="8">
        <v>60465.514999999999</v>
      </c>
      <c r="M23" s="8">
        <v>80962.94</v>
      </c>
      <c r="N23" s="8">
        <v>87158</v>
      </c>
      <c r="O23" s="8">
        <v>90331.436000000002</v>
      </c>
      <c r="P23" s="8">
        <v>158889</v>
      </c>
      <c r="Q23" s="8">
        <v>169182</v>
      </c>
      <c r="R23" s="8">
        <v>211931</v>
      </c>
      <c r="S23" s="7">
        <v>222037</v>
      </c>
      <c r="T23" s="8">
        <v>262729</v>
      </c>
      <c r="U23" s="8">
        <v>258111</v>
      </c>
      <c r="V23" s="8">
        <v>358251</v>
      </c>
      <c r="W23" s="8">
        <v>425684</v>
      </c>
      <c r="X23" s="8">
        <v>455413</v>
      </c>
      <c r="Y23" s="8">
        <v>488943</v>
      </c>
      <c r="Z23" s="8">
        <v>491031</v>
      </c>
      <c r="AA23" s="8">
        <v>513914</v>
      </c>
      <c r="AB23" s="8">
        <v>548933</v>
      </c>
      <c r="AC23" s="8">
        <v>596982</v>
      </c>
      <c r="AD23" s="8">
        <v>612981</v>
      </c>
      <c r="AE23" s="8">
        <v>619863</v>
      </c>
      <c r="AF23" s="8">
        <v>697268</v>
      </c>
      <c r="AG23" s="8">
        <v>790106</v>
      </c>
      <c r="AH23" s="8">
        <v>974470</v>
      </c>
      <c r="AI23" s="8">
        <v>1064825</v>
      </c>
      <c r="AJ23" s="8">
        <v>1177332</v>
      </c>
      <c r="AK23" s="8">
        <v>1139261</v>
      </c>
      <c r="AL23" s="8">
        <v>1163134</v>
      </c>
      <c r="AM23" s="8">
        <v>1293507</v>
      </c>
      <c r="AN23" s="8">
        <v>1386924</v>
      </c>
      <c r="AO23" s="8">
        <v>1447571</v>
      </c>
      <c r="AP23" s="8">
        <v>1526932</v>
      </c>
      <c r="AQ23" s="8">
        <v>1722208</v>
      </c>
      <c r="AR23" s="8">
        <v>1894537</v>
      </c>
      <c r="AS23" s="8">
        <v>2234698</v>
      </c>
      <c r="AT23" s="8">
        <v>2367822</v>
      </c>
      <c r="AU23" s="8">
        <v>2473853</v>
      </c>
      <c r="AV23" s="8">
        <v>2663991</v>
      </c>
      <c r="AW23" s="8">
        <v>2620055</v>
      </c>
      <c r="AX23" s="8">
        <v>2708185</v>
      </c>
      <c r="AY23" s="130"/>
      <c r="BB23" s="19"/>
    </row>
    <row r="24" spans="3:54" x14ac:dyDescent="0.2">
      <c r="C24" s="27" t="s">
        <v>51</v>
      </c>
      <c r="D24" s="8"/>
      <c r="E24" s="8"/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29606</v>
      </c>
      <c r="O24" s="8">
        <v>25103.42</v>
      </c>
      <c r="P24" s="8">
        <v>16320</v>
      </c>
      <c r="Q24" s="8">
        <v>8457</v>
      </c>
      <c r="R24" s="8">
        <v>26489</v>
      </c>
      <c r="S24" s="7">
        <v>13841</v>
      </c>
      <c r="T24" s="8">
        <v>3516</v>
      </c>
      <c r="U24" s="8">
        <v>3040</v>
      </c>
      <c r="V24" s="8">
        <v>3408</v>
      </c>
      <c r="W24" s="8">
        <v>81890</v>
      </c>
      <c r="X24" s="8">
        <v>86065</v>
      </c>
      <c r="Y24" s="8">
        <v>53673</v>
      </c>
      <c r="Z24" s="8">
        <v>44875</v>
      </c>
      <c r="AA24" s="8">
        <v>38998</v>
      </c>
      <c r="AB24" s="8">
        <v>36287</v>
      </c>
      <c r="AC24" s="8">
        <v>56152</v>
      </c>
      <c r="AD24" s="8">
        <v>65039</v>
      </c>
      <c r="AE24" s="8">
        <v>61246</v>
      </c>
      <c r="AF24" s="8">
        <v>13844</v>
      </c>
      <c r="AG24" s="8">
        <v>6610</v>
      </c>
      <c r="AH24" s="8">
        <v>23245</v>
      </c>
      <c r="AI24" s="8">
        <v>28376</v>
      </c>
      <c r="AJ24" s="8">
        <v>19523</v>
      </c>
      <c r="AK24" s="8">
        <v>0</v>
      </c>
      <c r="AL24" s="8">
        <v>897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902</v>
      </c>
      <c r="AT24" s="8">
        <v>881</v>
      </c>
      <c r="AU24" s="8">
        <v>896</v>
      </c>
      <c r="AV24" s="8">
        <v>0</v>
      </c>
      <c r="AW24" s="8">
        <v>0</v>
      </c>
      <c r="AX24" s="8">
        <v>4</v>
      </c>
    </row>
    <row r="25" spans="3:54" x14ac:dyDescent="0.2">
      <c r="C25" s="9" t="s">
        <v>55</v>
      </c>
      <c r="D25" s="8"/>
      <c r="E25" s="8"/>
      <c r="F25" s="8">
        <v>0</v>
      </c>
      <c r="G25" s="8">
        <v>0</v>
      </c>
      <c r="H25" s="8">
        <v>5.88</v>
      </c>
      <c r="I25" s="8">
        <v>5.88</v>
      </c>
      <c r="J25" s="8">
        <v>5.88</v>
      </c>
      <c r="K25" s="8">
        <v>5.88</v>
      </c>
      <c r="L25" s="8">
        <v>3</v>
      </c>
      <c r="M25" s="8">
        <v>0</v>
      </c>
      <c r="N25" s="8">
        <v>0</v>
      </c>
      <c r="O25" s="8">
        <v>1100</v>
      </c>
      <c r="P25" s="8">
        <v>1208</v>
      </c>
      <c r="Q25" s="8">
        <v>815</v>
      </c>
      <c r="R25" s="8">
        <v>802</v>
      </c>
      <c r="S25" s="7"/>
      <c r="T25" s="8">
        <v>8224</v>
      </c>
      <c r="U25" s="8">
        <v>11314</v>
      </c>
      <c r="V25" s="8">
        <v>422</v>
      </c>
      <c r="W25" s="8">
        <v>448</v>
      </c>
      <c r="X25" s="8">
        <v>424</v>
      </c>
      <c r="Y25" s="8">
        <v>424</v>
      </c>
      <c r="Z25" s="8">
        <v>464</v>
      </c>
      <c r="AA25" s="8">
        <v>486</v>
      </c>
      <c r="AB25" s="8">
        <v>631</v>
      </c>
      <c r="AC25" s="8">
        <v>486</v>
      </c>
      <c r="AD25" s="8">
        <v>653</v>
      </c>
      <c r="AE25" s="8">
        <v>653</v>
      </c>
      <c r="AF25" s="8">
        <v>646</v>
      </c>
      <c r="AG25" s="8">
        <v>652</v>
      </c>
      <c r="AH25" s="8">
        <v>686</v>
      </c>
      <c r="AI25" s="8">
        <v>684</v>
      </c>
      <c r="AJ25" s="8">
        <v>1201</v>
      </c>
      <c r="AK25" s="8">
        <v>1218</v>
      </c>
      <c r="AL25" s="8">
        <v>924</v>
      </c>
      <c r="AM25" s="8">
        <v>183</v>
      </c>
      <c r="AN25" s="8">
        <v>293</v>
      </c>
      <c r="AO25" s="8">
        <v>250</v>
      </c>
      <c r="AP25" s="8">
        <v>360</v>
      </c>
      <c r="AQ25" s="8">
        <v>1536</v>
      </c>
      <c r="AR25" s="8">
        <v>1776</v>
      </c>
      <c r="AS25" s="8">
        <v>13526</v>
      </c>
      <c r="AT25" s="8">
        <v>13276</v>
      </c>
      <c r="AU25" s="8">
        <v>13365</v>
      </c>
      <c r="AV25" s="8">
        <v>15546</v>
      </c>
      <c r="AW25" s="8">
        <v>27344</v>
      </c>
      <c r="AX25" s="8">
        <v>27741</v>
      </c>
    </row>
    <row r="26" spans="3:54" x14ac:dyDescent="0.2">
      <c r="C26" s="9" t="s">
        <v>481</v>
      </c>
      <c r="D26" s="8"/>
      <c r="E26" s="8"/>
      <c r="F26" s="8">
        <v>0</v>
      </c>
      <c r="G26" s="8">
        <v>0</v>
      </c>
      <c r="H26" s="8">
        <v>0</v>
      </c>
      <c r="I26" s="8">
        <v>0</v>
      </c>
      <c r="J26" s="8">
        <v>368.56</v>
      </c>
      <c r="K26" s="8">
        <v>376.11399999999998</v>
      </c>
      <c r="L26" s="8">
        <v>420.75200000000001</v>
      </c>
      <c r="M26" s="8">
        <v>389.79</v>
      </c>
      <c r="N26" s="8">
        <v>452</v>
      </c>
      <c r="O26" s="8">
        <v>426.87</v>
      </c>
      <c r="P26" s="8">
        <v>486</v>
      </c>
      <c r="Q26" s="8">
        <v>451</v>
      </c>
      <c r="R26" s="8">
        <v>456</v>
      </c>
      <c r="S26" s="7"/>
      <c r="T26" s="8">
        <v>506</v>
      </c>
      <c r="U26" s="8">
        <v>537</v>
      </c>
      <c r="V26" s="8">
        <v>623</v>
      </c>
      <c r="W26" s="8">
        <v>693</v>
      </c>
      <c r="X26" s="8">
        <v>927</v>
      </c>
      <c r="Y26" s="8">
        <v>860</v>
      </c>
      <c r="Z26" s="8">
        <v>953</v>
      </c>
      <c r="AA26" s="8">
        <v>1052</v>
      </c>
      <c r="AB26" s="8">
        <v>243</v>
      </c>
      <c r="AC26" s="8">
        <v>413</v>
      </c>
      <c r="AD26" s="8">
        <v>418</v>
      </c>
      <c r="AE26" s="8">
        <v>417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12</v>
      </c>
      <c r="AX26" s="8">
        <v>10</v>
      </c>
    </row>
    <row r="27" spans="3:54" x14ac:dyDescent="0.2">
      <c r="C27" s="9" t="s">
        <v>56</v>
      </c>
      <c r="D27" s="8"/>
      <c r="E27" s="8"/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2300</v>
      </c>
      <c r="N27" s="8">
        <v>0</v>
      </c>
      <c r="O27" s="8">
        <v>7755.5240000000003</v>
      </c>
      <c r="P27" s="8">
        <v>0</v>
      </c>
      <c r="Q27" s="8"/>
      <c r="R27" s="8">
        <v>134</v>
      </c>
      <c r="S27" s="7"/>
      <c r="T27" s="8">
        <v>425</v>
      </c>
      <c r="U27" s="8">
        <v>7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</row>
    <row r="28" spans="3:54" x14ac:dyDescent="0.2">
      <c r="C28" s="9" t="s">
        <v>57</v>
      </c>
      <c r="D28" s="8"/>
      <c r="E28" s="8"/>
      <c r="F28" s="8">
        <v>119.95099999999999</v>
      </c>
      <c r="G28" s="8">
        <v>119.95099999999999</v>
      </c>
      <c r="H28" s="8">
        <v>110.765</v>
      </c>
      <c r="I28" s="8">
        <v>106.265</v>
      </c>
      <c r="J28" s="8">
        <v>1679.713</v>
      </c>
      <c r="K28" s="8">
        <v>1753.049</v>
      </c>
      <c r="L28" s="8">
        <v>1829.002</v>
      </c>
      <c r="M28" s="8">
        <v>103.373</v>
      </c>
      <c r="N28" s="8">
        <v>75</v>
      </c>
      <c r="O28" s="8">
        <v>75.021000000000001</v>
      </c>
      <c r="P28" s="8">
        <v>77</v>
      </c>
      <c r="Q28" s="8">
        <v>77</v>
      </c>
      <c r="R28" s="8">
        <v>288</v>
      </c>
      <c r="S28" s="7"/>
      <c r="T28" s="8">
        <v>58</v>
      </c>
      <c r="U28" s="8">
        <v>58</v>
      </c>
      <c r="V28" s="8">
        <v>301</v>
      </c>
      <c r="W28" s="8">
        <v>58</v>
      </c>
      <c r="X28" s="8">
        <v>56</v>
      </c>
      <c r="Y28" s="8">
        <v>56</v>
      </c>
      <c r="Z28" s="8">
        <v>56</v>
      </c>
      <c r="AA28" s="8">
        <v>56</v>
      </c>
      <c r="AB28" s="8">
        <v>53</v>
      </c>
      <c r="AC28" s="8">
        <v>53</v>
      </c>
      <c r="AD28" s="8">
        <v>53</v>
      </c>
      <c r="AE28" s="8">
        <v>53</v>
      </c>
      <c r="AF28" s="8">
        <v>102</v>
      </c>
      <c r="AG28" s="8">
        <v>100</v>
      </c>
      <c r="AH28" s="8">
        <v>3247</v>
      </c>
      <c r="AI28" s="8">
        <v>3331</v>
      </c>
      <c r="AJ28" s="8">
        <v>4209</v>
      </c>
      <c r="AK28" s="8">
        <v>3769</v>
      </c>
      <c r="AL28" s="8">
        <v>7336</v>
      </c>
      <c r="AM28" s="8">
        <v>6549</v>
      </c>
      <c r="AN28" s="8">
        <v>5786</v>
      </c>
      <c r="AO28" s="8">
        <v>5386</v>
      </c>
      <c r="AP28" s="8">
        <v>4773</v>
      </c>
      <c r="AQ28" s="8">
        <v>2945</v>
      </c>
      <c r="AR28" s="8">
        <v>2526</v>
      </c>
      <c r="AS28" s="8">
        <v>3514</v>
      </c>
      <c r="AT28" s="8">
        <v>2881</v>
      </c>
      <c r="AU28" s="8">
        <v>3007</v>
      </c>
      <c r="AV28" s="8">
        <v>3993</v>
      </c>
      <c r="AW28" s="8">
        <v>3090</v>
      </c>
      <c r="AX28" s="8">
        <v>4240</v>
      </c>
    </row>
    <row r="29" spans="3:54" x14ac:dyDescent="0.2">
      <c r="C29" s="9" t="s">
        <v>58</v>
      </c>
      <c r="D29" s="8"/>
      <c r="E29" s="8"/>
      <c r="F29" s="8">
        <v>831.30499999999995</v>
      </c>
      <c r="G29" s="8">
        <v>1020.606</v>
      </c>
      <c r="H29" s="8">
        <v>2094.7339999999999</v>
      </c>
      <c r="I29" s="8">
        <v>2481.9299999999998</v>
      </c>
      <c r="J29" s="8">
        <v>2138.5569999999998</v>
      </c>
      <c r="K29" s="8">
        <v>2151.0990000000002</v>
      </c>
      <c r="L29" s="8">
        <v>2628.0970000000002</v>
      </c>
      <c r="M29" s="8">
        <v>1422.777</v>
      </c>
      <c r="N29" s="8">
        <v>1386</v>
      </c>
      <c r="O29" s="8">
        <v>2772.7190000000001</v>
      </c>
      <c r="P29" s="8">
        <v>2626</v>
      </c>
      <c r="Q29" s="8">
        <v>2704</v>
      </c>
      <c r="R29" s="8">
        <v>4963</v>
      </c>
      <c r="S29" s="7"/>
      <c r="T29" s="8">
        <v>4942</v>
      </c>
      <c r="U29" s="8">
        <v>5705</v>
      </c>
      <c r="V29" s="8">
        <v>8915</v>
      </c>
      <c r="W29" s="8">
        <v>11054</v>
      </c>
      <c r="X29" s="8">
        <v>10650</v>
      </c>
      <c r="Y29" s="8">
        <v>10246</v>
      </c>
      <c r="Z29" s="8">
        <v>10831</v>
      </c>
      <c r="AA29" s="8">
        <v>10952</v>
      </c>
      <c r="AB29" s="8">
        <v>10918</v>
      </c>
      <c r="AC29" s="8">
        <v>11035</v>
      </c>
      <c r="AD29" s="8">
        <v>10695</v>
      </c>
      <c r="AE29" s="8">
        <v>10412</v>
      </c>
      <c r="AF29" s="8">
        <v>10895</v>
      </c>
      <c r="AG29" s="8">
        <v>10756</v>
      </c>
      <c r="AH29" s="8">
        <v>15786</v>
      </c>
      <c r="AI29" s="8">
        <v>17049</v>
      </c>
      <c r="AJ29" s="8">
        <v>18364</v>
      </c>
      <c r="AK29" s="8">
        <v>17885</v>
      </c>
      <c r="AL29" s="8">
        <v>18230</v>
      </c>
      <c r="AM29" s="8">
        <v>18159</v>
      </c>
      <c r="AN29" s="8">
        <v>16084</v>
      </c>
      <c r="AO29" s="8">
        <v>16562</v>
      </c>
      <c r="AP29" s="8">
        <v>16630</v>
      </c>
      <c r="AQ29" s="8">
        <v>16767</v>
      </c>
      <c r="AR29" s="8">
        <v>18042</v>
      </c>
      <c r="AS29" s="8">
        <v>27519</v>
      </c>
      <c r="AT29" s="8">
        <v>30525</v>
      </c>
      <c r="AU29" s="8">
        <v>30535</v>
      </c>
      <c r="AV29" s="8">
        <v>31413</v>
      </c>
      <c r="AW29" s="8">
        <v>37002</v>
      </c>
      <c r="AX29" s="8">
        <v>37784</v>
      </c>
      <c r="AY29" s="135"/>
    </row>
    <row r="30" spans="3:54" x14ac:dyDescent="0.2">
      <c r="C30" s="9" t="s">
        <v>275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7"/>
      <c r="T30" s="8"/>
      <c r="U30" s="8"/>
      <c r="V30" s="8"/>
      <c r="W30" s="8"/>
      <c r="X30" s="8"/>
      <c r="Y30" s="8"/>
      <c r="Z30" s="8"/>
      <c r="AA30" s="8"/>
      <c r="AB30" s="8">
        <v>5408</v>
      </c>
      <c r="AC30" s="8">
        <v>4893</v>
      </c>
      <c r="AD30" s="8">
        <v>4349</v>
      </c>
      <c r="AE30" s="8">
        <v>4086</v>
      </c>
      <c r="AF30" s="8">
        <v>3789</v>
      </c>
      <c r="AG30" s="8">
        <v>5142</v>
      </c>
      <c r="AH30" s="8">
        <v>6187</v>
      </c>
      <c r="AI30" s="8">
        <v>6868</v>
      </c>
      <c r="AJ30" s="8">
        <v>6939</v>
      </c>
      <c r="AK30" s="8">
        <v>7739</v>
      </c>
      <c r="AL30" s="8">
        <v>7729</v>
      </c>
      <c r="AM30" s="8">
        <v>7502</v>
      </c>
      <c r="AN30" s="8">
        <v>7279</v>
      </c>
      <c r="AO30" s="8">
        <v>7532</v>
      </c>
      <c r="AP30" s="8">
        <v>7267</v>
      </c>
      <c r="AQ30" s="8">
        <v>8545</v>
      </c>
      <c r="AR30" s="8">
        <v>9352</v>
      </c>
      <c r="AS30" s="8">
        <v>10362</v>
      </c>
      <c r="AT30" s="8">
        <v>9935</v>
      </c>
      <c r="AU30" s="8">
        <v>11553</v>
      </c>
      <c r="AV30" s="8">
        <v>11088</v>
      </c>
      <c r="AW30" s="8">
        <v>11889</v>
      </c>
      <c r="AX30" s="8">
        <v>12272</v>
      </c>
    </row>
    <row r="31" spans="3:54" x14ac:dyDescent="0.2">
      <c r="C31" s="9" t="s">
        <v>59</v>
      </c>
      <c r="D31" s="8"/>
      <c r="E31" s="8"/>
      <c r="F31" s="8">
        <v>450.58699999999999</v>
      </c>
      <c r="G31" s="8">
        <v>450.58699999999999</v>
      </c>
      <c r="H31" s="8">
        <v>450.58699999999999</v>
      </c>
      <c r="I31" s="8">
        <v>450.58699999999999</v>
      </c>
      <c r="J31" s="8">
        <v>345.94299999999998</v>
      </c>
      <c r="K31" s="8">
        <v>345.94299999999998</v>
      </c>
      <c r="L31" s="8">
        <v>283.53800000000001</v>
      </c>
      <c r="M31" s="8">
        <v>283.53800000000001</v>
      </c>
      <c r="N31" s="8">
        <v>284</v>
      </c>
      <c r="O31" s="8">
        <v>419.48</v>
      </c>
      <c r="P31" s="8">
        <v>364</v>
      </c>
      <c r="Q31" s="8">
        <v>254</v>
      </c>
      <c r="R31" s="8">
        <v>728</v>
      </c>
      <c r="S31" s="7"/>
      <c r="T31" s="8">
        <v>728</v>
      </c>
      <c r="U31" s="8">
        <v>952</v>
      </c>
      <c r="V31" s="8">
        <v>952</v>
      </c>
      <c r="W31" s="8">
        <v>1202</v>
      </c>
      <c r="X31" s="8">
        <v>1505</v>
      </c>
      <c r="Y31" s="8">
        <v>1205</v>
      </c>
      <c r="Z31" s="8">
        <v>1205</v>
      </c>
      <c r="AA31" s="8">
        <v>1035</v>
      </c>
      <c r="AB31" s="8">
        <v>1742</v>
      </c>
      <c r="AC31" s="8">
        <v>1742</v>
      </c>
      <c r="AD31" s="8">
        <v>1662</v>
      </c>
      <c r="AE31" s="8">
        <v>1662</v>
      </c>
      <c r="AF31" s="8">
        <v>1662</v>
      </c>
      <c r="AG31" s="8">
        <v>1662</v>
      </c>
      <c r="AH31" s="8">
        <v>3494</v>
      </c>
      <c r="AI31" s="8">
        <v>3712</v>
      </c>
      <c r="AJ31" s="8">
        <v>4092</v>
      </c>
      <c r="AK31" s="8">
        <v>4092</v>
      </c>
      <c r="AL31" s="8">
        <v>4247</v>
      </c>
      <c r="AM31" s="8">
        <v>4050</v>
      </c>
      <c r="AN31" s="8">
        <v>4057</v>
      </c>
      <c r="AO31" s="8">
        <v>4057</v>
      </c>
      <c r="AP31" s="8">
        <v>4057</v>
      </c>
      <c r="AQ31" s="8">
        <v>3807</v>
      </c>
      <c r="AR31" s="8">
        <v>4057</v>
      </c>
      <c r="AS31" s="8">
        <v>4057</v>
      </c>
      <c r="AT31" s="8">
        <v>4057</v>
      </c>
      <c r="AU31" s="8">
        <v>4057</v>
      </c>
      <c r="AV31" s="8">
        <v>4708</v>
      </c>
      <c r="AW31" s="8">
        <v>4861</v>
      </c>
      <c r="AX31" s="8">
        <v>4832</v>
      </c>
    </row>
    <row r="32" spans="3:54" x14ac:dyDescent="0.2">
      <c r="C32" s="9" t="s">
        <v>60</v>
      </c>
      <c r="D32" s="8"/>
      <c r="E32" s="8"/>
      <c r="F32" s="8">
        <v>243.00800000000001</v>
      </c>
      <c r="G32" s="8">
        <v>82.510999999999996</v>
      </c>
      <c r="H32" s="8">
        <v>73.231999999999999</v>
      </c>
      <c r="I32" s="8">
        <v>65.262</v>
      </c>
      <c r="J32" s="8">
        <v>69.173000000000002</v>
      </c>
      <c r="K32" s="8">
        <v>42.6</v>
      </c>
      <c r="L32" s="8">
        <v>5.492</v>
      </c>
      <c r="M32" s="8">
        <v>1165.873</v>
      </c>
      <c r="N32" s="8">
        <v>1579</v>
      </c>
      <c r="O32" s="8">
        <v>9.2420000000000009</v>
      </c>
      <c r="P32" s="8">
        <v>2</v>
      </c>
      <c r="Q32" s="8">
        <v>5</v>
      </c>
      <c r="R32" s="8">
        <v>496</v>
      </c>
      <c r="S32" s="7"/>
      <c r="T32" s="8">
        <v>459</v>
      </c>
      <c r="U32" s="8">
        <v>410</v>
      </c>
      <c r="V32" s="8">
        <v>456</v>
      </c>
      <c r="W32" s="8">
        <v>512</v>
      </c>
      <c r="X32" s="8">
        <v>427</v>
      </c>
      <c r="Y32" s="8">
        <v>491</v>
      </c>
      <c r="Z32" s="8">
        <v>467</v>
      </c>
      <c r="AA32" s="8">
        <v>506</v>
      </c>
      <c r="AB32" s="8">
        <v>895</v>
      </c>
      <c r="AC32" s="8">
        <v>5564</v>
      </c>
      <c r="AD32" s="8">
        <v>878</v>
      </c>
      <c r="AE32" s="8">
        <v>413</v>
      </c>
      <c r="AF32" s="8">
        <v>532</v>
      </c>
      <c r="AG32" s="8">
        <v>509</v>
      </c>
      <c r="AH32" s="8">
        <v>6774</v>
      </c>
      <c r="AI32" s="8">
        <v>6294</v>
      </c>
      <c r="AJ32" s="8">
        <v>6104</v>
      </c>
      <c r="AK32" s="8">
        <v>23289</v>
      </c>
      <c r="AL32" s="8">
        <v>26061</v>
      </c>
      <c r="AM32" s="8">
        <v>27806</v>
      </c>
      <c r="AN32" s="8">
        <v>21549</v>
      </c>
      <c r="AO32" s="8">
        <v>19092</v>
      </c>
      <c r="AP32" s="8">
        <v>15206</v>
      </c>
      <c r="AQ32" s="8">
        <v>12600</v>
      </c>
      <c r="AR32" s="8">
        <v>19390</v>
      </c>
      <c r="AS32" s="8">
        <v>24267</v>
      </c>
      <c r="AT32" s="8">
        <v>28534</v>
      </c>
      <c r="AU32" s="8">
        <v>35991</v>
      </c>
      <c r="AV32" s="8">
        <v>39687</v>
      </c>
      <c r="AW32" s="8">
        <v>46279</v>
      </c>
      <c r="AX32" s="8">
        <v>50891</v>
      </c>
    </row>
    <row r="33" spans="2:51" x14ac:dyDescent="0.2">
      <c r="C33" s="9" t="s">
        <v>166</v>
      </c>
      <c r="P33" s="8"/>
      <c r="Q33" s="8"/>
      <c r="R33" s="8"/>
      <c r="S33" s="7"/>
      <c r="T33" s="8">
        <v>1153</v>
      </c>
      <c r="V33" s="8"/>
      <c r="W33" s="8"/>
      <c r="X33" s="8">
        <v>3156</v>
      </c>
      <c r="Y33" s="8">
        <v>338</v>
      </c>
      <c r="Z33" s="8">
        <v>1522</v>
      </c>
      <c r="AA33" s="8">
        <v>1365</v>
      </c>
      <c r="AB33" s="8">
        <v>27</v>
      </c>
      <c r="AC33" s="8">
        <v>2855</v>
      </c>
      <c r="AD33" s="8">
        <v>2351</v>
      </c>
      <c r="AE33" s="8">
        <v>2766</v>
      </c>
      <c r="AF33" s="8">
        <v>96</v>
      </c>
      <c r="AG33" s="8">
        <v>440</v>
      </c>
      <c r="AH33" s="8">
        <v>824</v>
      </c>
      <c r="AI33" s="8">
        <v>1268</v>
      </c>
      <c r="AJ33" s="8">
        <v>2897</v>
      </c>
      <c r="AK33" s="8">
        <v>4548</v>
      </c>
      <c r="AL33" s="8">
        <v>2957</v>
      </c>
      <c r="AM33" s="8">
        <v>1580</v>
      </c>
      <c r="AN33" s="8">
        <v>955</v>
      </c>
      <c r="AO33" s="8">
        <v>1564</v>
      </c>
      <c r="AP33" s="8">
        <v>1446</v>
      </c>
      <c r="AQ33" s="8">
        <v>885</v>
      </c>
      <c r="AR33" s="8">
        <v>995</v>
      </c>
      <c r="AS33" s="8">
        <v>1390</v>
      </c>
      <c r="AT33" s="8">
        <v>515</v>
      </c>
      <c r="AU33" s="8">
        <v>1435</v>
      </c>
      <c r="AV33" s="8">
        <v>10454</v>
      </c>
      <c r="AW33" s="8">
        <v>9991</v>
      </c>
      <c r="AX33" s="8">
        <v>6732</v>
      </c>
    </row>
    <row r="34" spans="2:51" x14ac:dyDescent="0.2">
      <c r="C34" s="9" t="s">
        <v>61</v>
      </c>
      <c r="D34" s="8"/>
      <c r="E34" s="8"/>
      <c r="F34" s="8">
        <v>570.40099999999995</v>
      </c>
      <c r="G34" s="8">
        <v>737.12599999999998</v>
      </c>
      <c r="H34" s="8">
        <v>509.77800000000002</v>
      </c>
      <c r="I34" s="8">
        <v>559.548</v>
      </c>
      <c r="J34" s="8">
        <v>489.30099999999999</v>
      </c>
      <c r="K34" s="8">
        <v>594.85599999999999</v>
      </c>
      <c r="L34" s="8">
        <v>489.84699999999998</v>
      </c>
      <c r="M34" s="8">
        <v>800.04300000000001</v>
      </c>
      <c r="N34" s="8">
        <v>1777</v>
      </c>
      <c r="O34" s="8">
        <v>1700.0530000000001</v>
      </c>
      <c r="P34" s="8">
        <v>1366</v>
      </c>
      <c r="Q34" s="8">
        <v>1139</v>
      </c>
      <c r="R34" s="8">
        <v>1872</v>
      </c>
      <c r="S34" s="7"/>
      <c r="T34" s="8">
        <v>1408</v>
      </c>
      <c r="U34" s="8">
        <v>4884</v>
      </c>
      <c r="V34" s="8">
        <v>7225</v>
      </c>
      <c r="W34" s="8">
        <v>9191</v>
      </c>
      <c r="X34" s="8">
        <v>19707</v>
      </c>
      <c r="Y34" s="8">
        <v>8090</v>
      </c>
      <c r="Z34" s="8">
        <v>13530</v>
      </c>
      <c r="AA34" s="8">
        <v>12324</v>
      </c>
      <c r="AB34" s="8">
        <v>16939</v>
      </c>
      <c r="AC34" s="8">
        <v>37440</v>
      </c>
      <c r="AD34" s="8">
        <v>19833</v>
      </c>
      <c r="AE34" s="8">
        <v>29489</v>
      </c>
      <c r="AF34" s="8">
        <v>25815</v>
      </c>
      <c r="AG34" s="8">
        <v>60367</v>
      </c>
      <c r="AH34" s="8">
        <v>36576</v>
      </c>
      <c r="AI34" s="8">
        <v>40938</v>
      </c>
      <c r="AJ34" s="8">
        <v>37658</v>
      </c>
      <c r="AK34" s="8">
        <v>38740</v>
      </c>
      <c r="AL34" s="8">
        <v>35159</v>
      </c>
      <c r="AM34" s="8">
        <v>43166</v>
      </c>
      <c r="AN34" s="8">
        <v>40193</v>
      </c>
      <c r="AO34" s="8">
        <v>42291</v>
      </c>
      <c r="AP34" s="8">
        <v>52228</v>
      </c>
      <c r="AQ34" s="8">
        <v>25241</v>
      </c>
      <c r="AR34" s="8">
        <v>30789</v>
      </c>
      <c r="AS34" s="8">
        <v>32135</v>
      </c>
      <c r="AT34" s="8">
        <v>61645</v>
      </c>
      <c r="AU34" s="8">
        <v>63742</v>
      </c>
      <c r="AV34" s="8">
        <v>82113</v>
      </c>
      <c r="AW34" s="8">
        <v>99888</v>
      </c>
      <c r="AX34" s="8">
        <v>110840</v>
      </c>
    </row>
    <row r="35" spans="2:51" s="13" customFormat="1" x14ac:dyDescent="0.2">
      <c r="C35" s="13" t="s">
        <v>2</v>
      </c>
      <c r="D35" s="14">
        <v>33984.317000000003</v>
      </c>
      <c r="E35" s="14">
        <v>33670.780999999995</v>
      </c>
      <c r="F35" s="15">
        <f t="shared" ref="F35:R35" si="0">SUM(F9:F34)</f>
        <v>43297.507000000005</v>
      </c>
      <c r="G35" s="15">
        <f t="shared" si="0"/>
        <v>45687.764999999992</v>
      </c>
      <c r="H35" s="15">
        <f t="shared" si="0"/>
        <v>57311.543999999994</v>
      </c>
      <c r="I35" s="15">
        <f t="shared" si="0"/>
        <v>67990.959999999992</v>
      </c>
      <c r="J35" s="15">
        <f t="shared" si="0"/>
        <v>94526.892000000007</v>
      </c>
      <c r="K35" s="15">
        <f t="shared" si="0"/>
        <v>106019.04600000002</v>
      </c>
      <c r="L35" s="15">
        <f t="shared" si="0"/>
        <v>124509.62399999997</v>
      </c>
      <c r="M35" s="15">
        <f t="shared" si="0"/>
        <v>161727.59299999999</v>
      </c>
      <c r="N35" s="15">
        <f t="shared" si="0"/>
        <v>201763</v>
      </c>
      <c r="O35" s="15">
        <f t="shared" si="0"/>
        <v>290270.06399999995</v>
      </c>
      <c r="P35" s="15">
        <f t="shared" si="0"/>
        <v>467942</v>
      </c>
      <c r="Q35" s="15">
        <f t="shared" si="0"/>
        <v>521991</v>
      </c>
      <c r="R35" s="15">
        <f t="shared" si="0"/>
        <v>565329</v>
      </c>
      <c r="S35" s="8">
        <v>607061</v>
      </c>
      <c r="T35" s="15">
        <f t="shared" ref="T35:Z35" si="1">SUM(T9:T34)</f>
        <v>689499</v>
      </c>
      <c r="U35" s="15">
        <f t="shared" si="1"/>
        <v>662872</v>
      </c>
      <c r="V35" s="15">
        <f t="shared" si="1"/>
        <v>888628</v>
      </c>
      <c r="W35" s="15">
        <f t="shared" si="1"/>
        <v>863021</v>
      </c>
      <c r="X35" s="15">
        <f t="shared" si="1"/>
        <v>967404</v>
      </c>
      <c r="Y35" s="15">
        <f t="shared" si="1"/>
        <v>952470</v>
      </c>
      <c r="Z35" s="15">
        <f t="shared" si="1"/>
        <v>975698</v>
      </c>
      <c r="AA35" s="15">
        <f t="shared" ref="AA35:AV35" si="2">SUM(AA9:AA34)</f>
        <v>1002950</v>
      </c>
      <c r="AB35" s="15">
        <f t="shared" si="2"/>
        <v>1135194</v>
      </c>
      <c r="AC35" s="15">
        <f t="shared" si="2"/>
        <v>1327943</v>
      </c>
      <c r="AD35" s="15">
        <f t="shared" si="2"/>
        <v>1507243</v>
      </c>
      <c r="AE35" s="15">
        <f t="shared" si="2"/>
        <v>1566107</v>
      </c>
      <c r="AF35" s="15">
        <f t="shared" si="2"/>
        <v>1483360</v>
      </c>
      <c r="AG35" s="15">
        <f t="shared" si="2"/>
        <v>1609866</v>
      </c>
      <c r="AH35" s="15">
        <f t="shared" si="2"/>
        <v>1854172</v>
      </c>
      <c r="AI35" s="15">
        <f t="shared" si="2"/>
        <v>1913377</v>
      </c>
      <c r="AJ35" s="15">
        <f t="shared" si="2"/>
        <v>2111556</v>
      </c>
      <c r="AK35" s="15">
        <f t="shared" si="2"/>
        <v>1918380</v>
      </c>
      <c r="AL35" s="15">
        <f t="shared" si="2"/>
        <v>1852936</v>
      </c>
      <c r="AM35" s="15">
        <f t="shared" si="2"/>
        <v>1971871</v>
      </c>
      <c r="AN35" s="15">
        <f t="shared" si="2"/>
        <v>2185465</v>
      </c>
      <c r="AO35" s="15">
        <f t="shared" si="2"/>
        <v>2271673</v>
      </c>
      <c r="AP35" s="15">
        <f t="shared" si="2"/>
        <v>2372511</v>
      </c>
      <c r="AQ35" s="15">
        <f t="shared" si="2"/>
        <v>2790544</v>
      </c>
      <c r="AR35" s="15">
        <f t="shared" si="2"/>
        <v>3188985</v>
      </c>
      <c r="AS35" s="15">
        <f t="shared" si="2"/>
        <v>3614994</v>
      </c>
      <c r="AT35" s="15">
        <f t="shared" si="2"/>
        <v>3794902</v>
      </c>
      <c r="AU35" s="15">
        <f t="shared" si="2"/>
        <v>3815190</v>
      </c>
      <c r="AV35" s="15">
        <f t="shared" si="2"/>
        <v>4046267</v>
      </c>
      <c r="AW35" s="15">
        <f>SUM(AW9:AW34)</f>
        <v>3875516</v>
      </c>
      <c r="AX35" s="15">
        <f>SUM(AX9:AX34)</f>
        <v>3918282</v>
      </c>
      <c r="AY35" s="243"/>
    </row>
    <row r="36" spans="2:51" x14ac:dyDescent="0.2">
      <c r="C36" s="13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AN36" s="9"/>
      <c r="AR36" s="9"/>
    </row>
    <row r="37" spans="2:51" x14ac:dyDescent="0.2">
      <c r="C37" s="9" t="s">
        <v>62</v>
      </c>
      <c r="D37" s="8"/>
      <c r="E37" s="8"/>
      <c r="F37" s="8">
        <v>0</v>
      </c>
      <c r="G37" s="8">
        <v>0</v>
      </c>
      <c r="H37" s="8">
        <v>3055.5070000000001</v>
      </c>
      <c r="I37" s="8">
        <v>6054.817</v>
      </c>
      <c r="J37" s="8">
        <v>17934.364000000001</v>
      </c>
      <c r="K37" s="8">
        <v>22100.473000000002</v>
      </c>
      <c r="L37" s="8">
        <v>24024.784</v>
      </c>
      <c r="M37" s="8">
        <v>36915.394999999997</v>
      </c>
      <c r="N37" s="8">
        <v>62516</v>
      </c>
      <c r="O37" s="8">
        <v>134880.16200000001</v>
      </c>
      <c r="P37" s="8">
        <v>186055</v>
      </c>
      <c r="Q37" s="8">
        <v>76144</v>
      </c>
      <c r="R37" s="8">
        <v>42618</v>
      </c>
      <c r="S37" s="7">
        <v>3006</v>
      </c>
      <c r="T37" s="8">
        <v>0</v>
      </c>
      <c r="U37" s="8">
        <v>0</v>
      </c>
      <c r="V37" s="8">
        <v>533</v>
      </c>
      <c r="W37" s="8">
        <v>610</v>
      </c>
      <c r="X37" s="8">
        <v>859</v>
      </c>
      <c r="Y37" s="8">
        <v>840</v>
      </c>
      <c r="Z37" s="8">
        <v>819</v>
      </c>
      <c r="AA37" s="8">
        <v>835</v>
      </c>
      <c r="AB37" s="8">
        <v>785</v>
      </c>
      <c r="AC37" s="8">
        <v>20737</v>
      </c>
      <c r="AD37" s="8">
        <v>769</v>
      </c>
      <c r="AE37" s="8">
        <v>2173</v>
      </c>
      <c r="AF37" s="8">
        <v>1802</v>
      </c>
      <c r="AG37" s="8">
        <v>38142</v>
      </c>
      <c r="AH37" s="8">
        <v>2535</v>
      </c>
      <c r="AI37" s="8">
        <v>11835</v>
      </c>
      <c r="AJ37" s="8">
        <v>4158</v>
      </c>
      <c r="AK37" s="8">
        <v>10326</v>
      </c>
      <c r="AL37" s="8">
        <v>21174</v>
      </c>
      <c r="AM37" s="8">
        <v>19124</v>
      </c>
      <c r="AN37" s="8">
        <v>18987</v>
      </c>
      <c r="AO37" s="8">
        <v>12127</v>
      </c>
      <c r="AP37" s="8">
        <v>14787</v>
      </c>
      <c r="AQ37" s="8">
        <v>11537</v>
      </c>
      <c r="AR37" s="8">
        <v>21524</v>
      </c>
      <c r="AS37" s="8">
        <v>69967</v>
      </c>
      <c r="AT37" s="8">
        <v>74499</v>
      </c>
      <c r="AU37" s="8">
        <v>153441</v>
      </c>
      <c r="AV37" s="8">
        <v>84904</v>
      </c>
      <c r="AW37" s="8">
        <v>16425</v>
      </c>
      <c r="AX37" s="8">
        <v>16858</v>
      </c>
      <c r="AY37" s="135"/>
    </row>
    <row r="38" spans="2:51" x14ac:dyDescent="0.2">
      <c r="C38" s="9" t="s">
        <v>63</v>
      </c>
      <c r="D38" s="8"/>
      <c r="E38" s="8"/>
      <c r="F38" s="8">
        <v>4554.2830000000004</v>
      </c>
      <c r="G38" s="8">
        <v>5046.1360000000004</v>
      </c>
      <c r="H38" s="8">
        <v>1242.4649999999999</v>
      </c>
      <c r="I38" s="8">
        <v>559.08100000000002</v>
      </c>
      <c r="J38" s="8">
        <v>175.52199999999999</v>
      </c>
      <c r="K38" s="8">
        <v>161.96199999999999</v>
      </c>
      <c r="L38" s="8">
        <v>246.22499999999999</v>
      </c>
      <c r="M38" s="8">
        <v>159.68700000000001</v>
      </c>
      <c r="N38" s="8">
        <v>631</v>
      </c>
      <c r="O38" s="8">
        <v>3695.1080000000002</v>
      </c>
      <c r="P38" s="8">
        <v>78369</v>
      </c>
      <c r="Q38" s="8">
        <v>141754</v>
      </c>
      <c r="R38" s="8">
        <v>145196</v>
      </c>
      <c r="S38" s="7">
        <v>186500</v>
      </c>
      <c r="T38" s="8">
        <v>194135</v>
      </c>
      <c r="U38" s="8">
        <v>107954</v>
      </c>
      <c r="V38" s="8">
        <v>136998</v>
      </c>
      <c r="W38" s="8">
        <v>135177</v>
      </c>
      <c r="X38" s="8">
        <v>190255</v>
      </c>
      <c r="Y38" s="8">
        <v>125363</v>
      </c>
      <c r="Z38" s="8">
        <v>110854</v>
      </c>
      <c r="AA38" s="8">
        <v>79535</v>
      </c>
      <c r="AB38" s="8">
        <v>125121</v>
      </c>
      <c r="AC38" s="8">
        <v>242126</v>
      </c>
      <c r="AD38" s="8">
        <v>367053</v>
      </c>
      <c r="AE38" s="8">
        <v>376580</v>
      </c>
      <c r="AF38" s="8">
        <v>154579</v>
      </c>
      <c r="AG38" s="8">
        <v>92365</v>
      </c>
      <c r="AH38" s="8">
        <v>202571</v>
      </c>
      <c r="AI38" s="8">
        <v>218981</v>
      </c>
      <c r="AJ38" s="8">
        <v>249930</v>
      </c>
      <c r="AK38" s="8">
        <v>79934</v>
      </c>
      <c r="AL38" s="8">
        <v>125212</v>
      </c>
      <c r="AM38" s="8">
        <v>180219</v>
      </c>
      <c r="AN38" s="8">
        <v>94263</v>
      </c>
      <c r="AO38" s="8">
        <v>36363</v>
      </c>
      <c r="AP38" s="8">
        <v>42448</v>
      </c>
      <c r="AQ38" s="8">
        <v>89736</v>
      </c>
      <c r="AR38" s="8">
        <v>139015</v>
      </c>
      <c r="AS38" s="8">
        <v>193813</v>
      </c>
      <c r="AT38" s="8">
        <v>224205</v>
      </c>
      <c r="AU38" s="8">
        <v>207881</v>
      </c>
      <c r="AV38" s="8">
        <v>235187</v>
      </c>
      <c r="AW38" s="8">
        <v>344269</v>
      </c>
      <c r="AX38" s="8">
        <v>265664</v>
      </c>
      <c r="AY38" s="135"/>
    </row>
    <row r="39" spans="2:51" x14ac:dyDescent="0.2">
      <c r="C39" s="4" t="s">
        <v>64</v>
      </c>
      <c r="D39" s="8"/>
      <c r="E39" s="8"/>
      <c r="F39" s="8">
        <v>31040.694</v>
      </c>
      <c r="G39" s="8">
        <v>31649.848999999998</v>
      </c>
      <c r="H39" s="8">
        <v>42618.036999999997</v>
      </c>
      <c r="I39" s="8">
        <v>51101.394999999997</v>
      </c>
      <c r="J39" s="8">
        <v>62625.680999999997</v>
      </c>
      <c r="K39" s="8">
        <v>67260.686000000002</v>
      </c>
      <c r="L39" s="8">
        <v>80775.104000000007</v>
      </c>
      <c r="M39" s="8">
        <v>100182.66099999999</v>
      </c>
      <c r="N39" s="8">
        <v>117514</v>
      </c>
      <c r="O39" s="8">
        <v>110634.022</v>
      </c>
      <c r="P39" s="8">
        <v>145420</v>
      </c>
      <c r="Q39" s="8">
        <v>220605</v>
      </c>
      <c r="R39" s="8">
        <v>276467</v>
      </c>
      <c r="S39" s="7">
        <v>305693</v>
      </c>
      <c r="T39" s="8">
        <v>358914</v>
      </c>
      <c r="U39" s="8">
        <v>401503</v>
      </c>
      <c r="V39" s="8">
        <v>579226</v>
      </c>
      <c r="W39" s="8">
        <v>548039</v>
      </c>
      <c r="X39" s="8">
        <v>598874</v>
      </c>
      <c r="Y39" s="8">
        <v>647075</v>
      </c>
      <c r="Z39" s="8">
        <v>667593</v>
      </c>
      <c r="AA39" s="8">
        <v>718044</v>
      </c>
      <c r="AB39" s="8">
        <v>774038</v>
      </c>
      <c r="AC39" s="8">
        <v>808667</v>
      </c>
      <c r="AD39" s="8">
        <v>854372</v>
      </c>
      <c r="AE39" s="8">
        <v>872385</v>
      </c>
      <c r="AF39" s="8">
        <v>998593</v>
      </c>
      <c r="AG39" s="8">
        <v>1106078</v>
      </c>
      <c r="AH39" s="8">
        <v>1253163</v>
      </c>
      <c r="AI39" s="8">
        <v>1248726</v>
      </c>
      <c r="AJ39" s="8">
        <v>1418983</v>
      </c>
      <c r="AK39" s="8">
        <v>1418501</v>
      </c>
      <c r="AL39" s="8">
        <v>1350772</v>
      </c>
      <c r="AM39" s="8">
        <v>1423192</v>
      </c>
      <c r="AN39" s="8">
        <v>1687828</v>
      </c>
      <c r="AO39" s="8">
        <v>1808528</v>
      </c>
      <c r="AP39" s="8">
        <v>1859496</v>
      </c>
      <c r="AQ39" s="8">
        <v>2199217</v>
      </c>
      <c r="AR39" s="8">
        <v>2500207</v>
      </c>
      <c r="AS39" s="8">
        <v>2726364</v>
      </c>
      <c r="AT39" s="8">
        <v>2851047</v>
      </c>
      <c r="AU39" s="8">
        <v>2804824</v>
      </c>
      <c r="AV39" s="8">
        <v>3041259</v>
      </c>
      <c r="AW39" s="8">
        <v>2826322</v>
      </c>
      <c r="AX39" s="8">
        <v>2901208</v>
      </c>
      <c r="AY39" s="243"/>
    </row>
    <row r="40" spans="2:51" x14ac:dyDescent="0.2">
      <c r="C40" s="4" t="s">
        <v>65</v>
      </c>
      <c r="D40" s="8"/>
      <c r="E40" s="8"/>
      <c r="F40" s="8">
        <v>1990.28</v>
      </c>
      <c r="G40" s="8">
        <v>1776.8019999999999</v>
      </c>
      <c r="H40" s="8">
        <v>1647.4960000000001</v>
      </c>
      <c r="I40" s="8">
        <v>1059.951</v>
      </c>
      <c r="J40" s="8">
        <v>1753.04</v>
      </c>
      <c r="K40" s="8">
        <v>3835.4050000000002</v>
      </c>
      <c r="L40" s="8">
        <v>4077.7820000000002</v>
      </c>
      <c r="M40" s="8">
        <v>4083.558</v>
      </c>
      <c r="N40" s="8">
        <v>2740</v>
      </c>
      <c r="O40" s="8">
        <v>2943.3519999999999</v>
      </c>
      <c r="P40" s="8">
        <v>3061</v>
      </c>
      <c r="Q40" s="8">
        <v>2334</v>
      </c>
      <c r="R40" s="8">
        <v>8774</v>
      </c>
      <c r="S40" s="7">
        <v>8693</v>
      </c>
      <c r="T40" s="8">
        <v>15744</v>
      </c>
      <c r="U40" s="8">
        <v>14370</v>
      </c>
      <c r="V40" s="8">
        <v>14504</v>
      </c>
      <c r="W40" s="8">
        <v>12906</v>
      </c>
      <c r="X40" s="8">
        <v>8479</v>
      </c>
      <c r="Y40" s="8">
        <v>8383</v>
      </c>
      <c r="Z40" s="8">
        <v>18315</v>
      </c>
      <c r="AA40" s="8">
        <v>18376</v>
      </c>
      <c r="AB40" s="8">
        <v>18662</v>
      </c>
      <c r="AC40" s="8">
        <v>17657</v>
      </c>
      <c r="AD40" s="8">
        <v>29733</v>
      </c>
      <c r="AE40" s="8">
        <v>33828</v>
      </c>
      <c r="AF40" s="8">
        <v>37757</v>
      </c>
      <c r="AG40" s="8">
        <v>61026</v>
      </c>
      <c r="AH40" s="8">
        <v>54770</v>
      </c>
      <c r="AI40" s="8">
        <v>62687</v>
      </c>
      <c r="AJ40" s="8">
        <v>51863</v>
      </c>
      <c r="AK40" s="8">
        <v>49778</v>
      </c>
      <c r="AL40" s="8">
        <v>39021</v>
      </c>
      <c r="AM40" s="8">
        <v>26755</v>
      </c>
      <c r="AN40" s="8">
        <v>19592</v>
      </c>
      <c r="AO40" s="8">
        <v>19868</v>
      </c>
      <c r="AP40" s="8">
        <v>17886</v>
      </c>
      <c r="AQ40" s="8">
        <v>16486</v>
      </c>
      <c r="AR40" s="8">
        <v>15890</v>
      </c>
      <c r="AS40" s="8">
        <v>22352</v>
      </c>
      <c r="AT40" s="8">
        <v>23638</v>
      </c>
      <c r="AU40" s="8">
        <v>20135</v>
      </c>
      <c r="AV40" s="8">
        <v>54397</v>
      </c>
      <c r="AW40" s="8">
        <v>52673</v>
      </c>
      <c r="AX40" s="8">
        <v>53711</v>
      </c>
      <c r="AY40" s="135"/>
    </row>
    <row r="41" spans="2:51" x14ac:dyDescent="0.2">
      <c r="C41" s="4" t="s">
        <v>66</v>
      </c>
      <c r="D41" s="8"/>
      <c r="E41" s="8"/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2354.14</v>
      </c>
      <c r="P41" s="8">
        <v>14225</v>
      </c>
      <c r="Q41" s="8">
        <v>15120</v>
      </c>
      <c r="R41" s="8">
        <v>15691</v>
      </c>
      <c r="S41" s="7">
        <v>16496</v>
      </c>
      <c r="T41" s="8">
        <v>15381</v>
      </c>
      <c r="U41" s="8">
        <v>15388</v>
      </c>
      <c r="V41" s="8">
        <v>15879</v>
      </c>
      <c r="W41" s="8">
        <v>16392</v>
      </c>
      <c r="X41" s="8">
        <v>16924</v>
      </c>
      <c r="Y41" s="8">
        <v>17463</v>
      </c>
      <c r="Z41" s="8">
        <v>18028</v>
      </c>
      <c r="AA41" s="8">
        <v>18616</v>
      </c>
      <c r="AB41" s="8">
        <v>19227</v>
      </c>
      <c r="AC41" s="8">
        <v>19852</v>
      </c>
      <c r="AD41" s="8">
        <v>20500</v>
      </c>
      <c r="AE41" s="8">
        <v>21178</v>
      </c>
      <c r="AF41" s="8">
        <v>21880</v>
      </c>
      <c r="AG41" s="8">
        <v>22995</v>
      </c>
      <c r="AH41" s="8">
        <v>23755</v>
      </c>
      <c r="AI41" s="8">
        <v>23607</v>
      </c>
      <c r="AJ41" s="8">
        <v>25189</v>
      </c>
      <c r="AK41" s="8">
        <v>24988</v>
      </c>
      <c r="AL41" s="8">
        <v>25960</v>
      </c>
      <c r="AM41" s="8">
        <v>26483</v>
      </c>
      <c r="AN41" s="8">
        <v>27193</v>
      </c>
      <c r="AO41" s="8">
        <v>27867</v>
      </c>
      <c r="AP41" s="8">
        <v>28800</v>
      </c>
      <c r="AQ41" s="8">
        <v>29776</v>
      </c>
      <c r="AR41" s="8">
        <v>30910</v>
      </c>
      <c r="AS41" s="8">
        <v>31363</v>
      </c>
      <c r="AT41" s="8">
        <v>32285</v>
      </c>
      <c r="AU41" s="8">
        <v>32797</v>
      </c>
      <c r="AV41" s="8">
        <v>33490</v>
      </c>
      <c r="AW41" s="8">
        <v>34620</v>
      </c>
      <c r="AX41" s="8">
        <v>35624</v>
      </c>
      <c r="AY41" s="135"/>
    </row>
    <row r="42" spans="2:51" x14ac:dyDescent="0.2">
      <c r="C42" s="4" t="s">
        <v>67</v>
      </c>
      <c r="D42" s="8"/>
      <c r="E42" s="8"/>
      <c r="F42" s="8">
        <v>808.48599999999999</v>
      </c>
      <c r="G42" s="8">
        <v>739.10599999999999</v>
      </c>
      <c r="H42" s="8">
        <v>868.56700000000001</v>
      </c>
      <c r="I42" s="8">
        <v>1381.4449999999999</v>
      </c>
      <c r="J42" s="8">
        <v>1828.499</v>
      </c>
      <c r="K42" s="8">
        <v>851.55700000000002</v>
      </c>
      <c r="L42" s="8">
        <v>1615.7339999999999</v>
      </c>
      <c r="M42" s="8">
        <v>4079</v>
      </c>
      <c r="N42" s="8">
        <v>5371</v>
      </c>
      <c r="O42" s="8">
        <v>11719.665999999999</v>
      </c>
      <c r="P42" s="8">
        <v>6958</v>
      </c>
      <c r="Q42" s="8">
        <v>6134</v>
      </c>
      <c r="R42" s="8">
        <v>1484</v>
      </c>
      <c r="S42" s="7">
        <v>7447</v>
      </c>
      <c r="T42" s="8">
        <v>6799</v>
      </c>
      <c r="U42" s="8">
        <v>20609</v>
      </c>
      <c r="V42" s="8">
        <v>16827</v>
      </c>
      <c r="W42" s="8">
        <v>17042</v>
      </c>
      <c r="X42" s="8">
        <v>13993</v>
      </c>
      <c r="Y42" s="8">
        <v>10456</v>
      </c>
      <c r="Z42" s="8">
        <v>10214</v>
      </c>
      <c r="AA42" s="8">
        <v>10332</v>
      </c>
      <c r="AB42" s="8">
        <v>26362</v>
      </c>
      <c r="AC42" s="8">
        <v>32050</v>
      </c>
      <c r="AD42" s="8">
        <v>28706</v>
      </c>
      <c r="AE42" s="8">
        <v>32049</v>
      </c>
      <c r="AF42" s="8">
        <v>29765</v>
      </c>
      <c r="AG42" s="8">
        <v>30727</v>
      </c>
      <c r="AH42" s="8">
        <v>29182</v>
      </c>
      <c r="AI42" s="8">
        <v>29800</v>
      </c>
      <c r="AJ42" s="8">
        <v>28487</v>
      </c>
      <c r="AK42" s="8">
        <v>29478</v>
      </c>
      <c r="AL42" s="8">
        <v>22694</v>
      </c>
      <c r="AM42" s="8">
        <v>29319</v>
      </c>
      <c r="AN42" s="8">
        <v>35463</v>
      </c>
      <c r="AO42" s="8">
        <v>36965</v>
      </c>
      <c r="AP42" s="8">
        <v>40824</v>
      </c>
      <c r="AQ42" s="8">
        <v>23235</v>
      </c>
      <c r="AR42" s="8">
        <v>24426</v>
      </c>
      <c r="AS42" s="8">
        <v>24949</v>
      </c>
      <c r="AT42" s="8">
        <v>23469</v>
      </c>
      <c r="AU42" s="8">
        <v>24971</v>
      </c>
      <c r="AV42" s="8">
        <v>26825</v>
      </c>
      <c r="AW42" s="8">
        <v>21850</v>
      </c>
      <c r="AX42" s="8">
        <v>47126</v>
      </c>
      <c r="AY42" s="135"/>
    </row>
    <row r="43" spans="2:51" x14ac:dyDescent="0.2">
      <c r="C43" s="4" t="s">
        <v>68</v>
      </c>
      <c r="D43" s="8"/>
      <c r="E43" s="8"/>
      <c r="F43" s="8">
        <v>4.7060000000000004</v>
      </c>
      <c r="G43" s="8">
        <v>98.591999999999999</v>
      </c>
      <c r="H43" s="8">
        <v>207.03</v>
      </c>
      <c r="I43" s="8">
        <v>197.33600000000001</v>
      </c>
      <c r="J43" s="8">
        <v>236.51599999999999</v>
      </c>
      <c r="K43" s="8">
        <v>174.93700000000001</v>
      </c>
      <c r="L43" s="8">
        <v>212.029</v>
      </c>
      <c r="M43" s="8">
        <v>0</v>
      </c>
      <c r="N43" s="8">
        <v>0</v>
      </c>
      <c r="O43" s="8">
        <v>796.58199999999999</v>
      </c>
      <c r="P43" s="8">
        <v>2751</v>
      </c>
      <c r="Q43" s="8">
        <v>5523</v>
      </c>
      <c r="R43" s="8">
        <v>4861</v>
      </c>
      <c r="S43" s="7">
        <v>3353</v>
      </c>
      <c r="T43" s="8">
        <v>5244</v>
      </c>
      <c r="U43" s="8">
        <v>3351</v>
      </c>
      <c r="V43" s="8">
        <v>3883</v>
      </c>
      <c r="W43" s="8">
        <v>4941</v>
      </c>
      <c r="X43" s="8">
        <v>5153</v>
      </c>
      <c r="Y43" s="8">
        <v>2291</v>
      </c>
      <c r="Z43" s="8">
        <v>1470</v>
      </c>
      <c r="AA43" s="8">
        <v>1566</v>
      </c>
      <c r="AB43" s="8">
        <v>56</v>
      </c>
      <c r="AC43" s="8">
        <v>1174</v>
      </c>
      <c r="AD43" s="8">
        <v>1140</v>
      </c>
      <c r="AE43" s="8">
        <v>1756</v>
      </c>
      <c r="AF43" s="8">
        <v>2706</v>
      </c>
      <c r="AG43" s="8">
        <v>2015</v>
      </c>
      <c r="AH43" s="8">
        <v>3137</v>
      </c>
      <c r="AI43" s="8">
        <v>4247</v>
      </c>
      <c r="AJ43" s="8">
        <v>754</v>
      </c>
      <c r="AK43" s="8">
        <v>0</v>
      </c>
      <c r="AL43" s="8">
        <v>0</v>
      </c>
      <c r="AM43" s="8">
        <v>0</v>
      </c>
      <c r="AN43" s="8">
        <v>55</v>
      </c>
      <c r="AO43" s="8">
        <v>41</v>
      </c>
      <c r="AP43" s="8">
        <v>42</v>
      </c>
      <c r="AQ43" s="8">
        <v>427</v>
      </c>
      <c r="AR43" s="8">
        <v>261</v>
      </c>
      <c r="AS43" s="8">
        <v>1143</v>
      </c>
      <c r="AT43" s="8">
        <v>868</v>
      </c>
      <c r="AU43" s="8">
        <v>963</v>
      </c>
      <c r="AV43" s="8">
        <v>1343</v>
      </c>
      <c r="AW43" s="8">
        <v>3364</v>
      </c>
      <c r="AX43" s="8">
        <v>3031</v>
      </c>
      <c r="AY43" s="135"/>
    </row>
    <row r="44" spans="2:51" x14ac:dyDescent="0.2">
      <c r="C44" s="4" t="s">
        <v>69</v>
      </c>
      <c r="D44" s="8"/>
      <c r="E44" s="8"/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525</v>
      </c>
      <c r="Q44" s="8"/>
      <c r="R44" s="8">
        <v>525</v>
      </c>
      <c r="S44" s="7">
        <v>525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>
        <v>6988</v>
      </c>
      <c r="AJ44" s="8">
        <v>4860</v>
      </c>
      <c r="AK44" s="8">
        <v>0</v>
      </c>
      <c r="AL44" s="8">
        <v>2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111</v>
      </c>
      <c r="AY44" s="135"/>
    </row>
    <row r="45" spans="2:51" x14ac:dyDescent="0.2">
      <c r="C45" s="4" t="s">
        <v>70</v>
      </c>
      <c r="D45" s="8"/>
      <c r="E45" s="8"/>
      <c r="F45" s="8">
        <v>452.10700000000003</v>
      </c>
      <c r="G45" s="8">
        <v>537.346</v>
      </c>
      <c r="H45" s="8">
        <v>498.95699999999999</v>
      </c>
      <c r="I45" s="8">
        <v>650.28</v>
      </c>
      <c r="J45" s="8">
        <v>768.78</v>
      </c>
      <c r="K45" s="8">
        <v>840.19</v>
      </c>
      <c r="L45" s="8">
        <v>740.35799999999995</v>
      </c>
      <c r="M45" s="8">
        <v>1491.6110000000001</v>
      </c>
      <c r="N45" s="8">
        <v>1389</v>
      </c>
      <c r="O45" s="8">
        <v>1539.501</v>
      </c>
      <c r="P45" s="8">
        <v>3257</v>
      </c>
      <c r="Q45" s="8">
        <v>6445</v>
      </c>
      <c r="R45" s="8">
        <v>5797</v>
      </c>
      <c r="S45" s="7">
        <v>6654</v>
      </c>
      <c r="T45" s="8">
        <v>7864</v>
      </c>
      <c r="U45" s="8">
        <v>10756</v>
      </c>
      <c r="V45" s="8">
        <v>16033</v>
      </c>
      <c r="W45" s="8">
        <v>14775</v>
      </c>
      <c r="X45" s="8">
        <f>77+18754</f>
        <v>18831</v>
      </c>
      <c r="Y45" s="8">
        <f>1129+16934</f>
        <v>18063</v>
      </c>
      <c r="Z45" s="8">
        <f>454+20859</f>
        <v>21313</v>
      </c>
      <c r="AA45" s="8">
        <v>22378</v>
      </c>
      <c r="AB45" s="8">
        <v>31859</v>
      </c>
      <c r="AC45" s="8">
        <v>49417</v>
      </c>
      <c r="AD45" s="8">
        <v>45873</v>
      </c>
      <c r="AE45" s="8">
        <v>56009</v>
      </c>
      <c r="AF45" s="8">
        <v>47989</v>
      </c>
      <c r="AG45" s="8">
        <v>69036</v>
      </c>
      <c r="AH45" s="8">
        <v>78153</v>
      </c>
      <c r="AI45" s="8">
        <v>82830</v>
      </c>
      <c r="AJ45" s="8">
        <v>84380</v>
      </c>
      <c r="AK45" s="8">
        <v>124064</v>
      </c>
      <c r="AL45" s="8">
        <v>107817</v>
      </c>
      <c r="AM45" s="8">
        <v>109604</v>
      </c>
      <c r="AN45" s="8">
        <v>109969</v>
      </c>
      <c r="AO45" s="8">
        <v>115478</v>
      </c>
      <c r="AP45" s="8">
        <v>121018</v>
      </c>
      <c r="AQ45" s="8">
        <v>150899</v>
      </c>
      <c r="AR45" s="8">
        <v>158395</v>
      </c>
      <c r="AS45" s="8">
        <v>192299</v>
      </c>
      <c r="AT45" s="8">
        <v>211999</v>
      </c>
      <c r="AU45" s="8">
        <v>201852</v>
      </c>
      <c r="AV45" s="8">
        <v>178871</v>
      </c>
      <c r="AW45" s="8">
        <v>194738</v>
      </c>
      <c r="AX45" s="8">
        <v>214278</v>
      </c>
      <c r="AY45" s="135"/>
    </row>
    <row r="46" spans="2:51" s="6" customFormat="1" x14ac:dyDescent="0.2">
      <c r="B46" s="13"/>
      <c r="C46" s="6" t="s">
        <v>71</v>
      </c>
      <c r="D46" s="17"/>
      <c r="E46" s="17"/>
      <c r="F46" s="17">
        <f t="shared" ref="F46:AX46" si="3">SUM(F37:F45)</f>
        <v>38850.555999999997</v>
      </c>
      <c r="G46" s="17">
        <f t="shared" si="3"/>
        <v>39847.830999999998</v>
      </c>
      <c r="H46" s="17">
        <f t="shared" si="3"/>
        <v>50138.059000000001</v>
      </c>
      <c r="I46" s="17">
        <f t="shared" si="3"/>
        <v>61004.305</v>
      </c>
      <c r="J46" s="17">
        <f t="shared" si="3"/>
        <v>85322.401999999987</v>
      </c>
      <c r="K46" s="17">
        <f t="shared" si="3"/>
        <v>95225.21</v>
      </c>
      <c r="L46" s="17">
        <f t="shared" si="3"/>
        <v>111692.016</v>
      </c>
      <c r="M46" s="17">
        <f t="shared" si="3"/>
        <v>146911.91199999998</v>
      </c>
      <c r="N46" s="17">
        <f t="shared" si="3"/>
        <v>190161</v>
      </c>
      <c r="O46" s="17">
        <f t="shared" si="3"/>
        <v>268562.53300000005</v>
      </c>
      <c r="P46" s="17">
        <f t="shared" si="3"/>
        <v>440621</v>
      </c>
      <c r="Q46" s="17">
        <f t="shared" si="3"/>
        <v>474059</v>
      </c>
      <c r="R46" s="17">
        <f t="shared" si="3"/>
        <v>501413</v>
      </c>
      <c r="S46" s="17">
        <f t="shared" si="3"/>
        <v>538367</v>
      </c>
      <c r="T46" s="17">
        <f t="shared" si="3"/>
        <v>604081</v>
      </c>
      <c r="U46" s="17">
        <f t="shared" si="3"/>
        <v>573931</v>
      </c>
      <c r="V46" s="17">
        <f t="shared" si="3"/>
        <v>783883</v>
      </c>
      <c r="W46" s="17">
        <f t="shared" si="3"/>
        <v>749882</v>
      </c>
      <c r="X46" s="17">
        <f t="shared" si="3"/>
        <v>853368</v>
      </c>
      <c r="Y46" s="17">
        <f t="shared" si="3"/>
        <v>829934</v>
      </c>
      <c r="Z46" s="17">
        <f t="shared" si="3"/>
        <v>848606</v>
      </c>
      <c r="AA46" s="17">
        <f t="shared" si="3"/>
        <v>869682</v>
      </c>
      <c r="AB46" s="17">
        <f t="shared" si="3"/>
        <v>996110</v>
      </c>
      <c r="AC46" s="17">
        <f t="shared" si="3"/>
        <v>1191680</v>
      </c>
      <c r="AD46" s="17">
        <f t="shared" si="3"/>
        <v>1348146</v>
      </c>
      <c r="AE46" s="17">
        <f t="shared" si="3"/>
        <v>1395958</v>
      </c>
      <c r="AF46" s="17">
        <f t="shared" si="3"/>
        <v>1295071</v>
      </c>
      <c r="AG46" s="17">
        <f t="shared" si="3"/>
        <v>1422384</v>
      </c>
      <c r="AH46" s="17">
        <f t="shared" si="3"/>
        <v>1647266</v>
      </c>
      <c r="AI46" s="17">
        <f t="shared" si="3"/>
        <v>1689701</v>
      </c>
      <c r="AJ46" s="17">
        <f t="shared" si="3"/>
        <v>1868604</v>
      </c>
      <c r="AK46" s="17">
        <f t="shared" si="3"/>
        <v>1737069</v>
      </c>
      <c r="AL46" s="17">
        <f t="shared" si="3"/>
        <v>1692652</v>
      </c>
      <c r="AM46" s="17">
        <f t="shared" si="3"/>
        <v>1814696</v>
      </c>
      <c r="AN46" s="17">
        <f t="shared" si="3"/>
        <v>1993350</v>
      </c>
      <c r="AO46" s="17">
        <f t="shared" si="3"/>
        <v>2057237</v>
      </c>
      <c r="AP46" s="17">
        <f t="shared" si="3"/>
        <v>2125301</v>
      </c>
      <c r="AQ46" s="17">
        <f t="shared" si="3"/>
        <v>2521313</v>
      </c>
      <c r="AR46" s="17">
        <f t="shared" si="3"/>
        <v>2890628</v>
      </c>
      <c r="AS46" s="17">
        <f t="shared" si="3"/>
        <v>3262250</v>
      </c>
      <c r="AT46" s="17">
        <f t="shared" si="3"/>
        <v>3442010</v>
      </c>
      <c r="AU46" s="17">
        <f t="shared" si="3"/>
        <v>3446864</v>
      </c>
      <c r="AV46" s="17">
        <f t="shared" si="3"/>
        <v>3656276</v>
      </c>
      <c r="AW46" s="17">
        <f t="shared" si="3"/>
        <v>3494261</v>
      </c>
      <c r="AX46" s="17">
        <f t="shared" si="3"/>
        <v>3537611</v>
      </c>
      <c r="AY46" s="243"/>
    </row>
    <row r="47" spans="2:51" x14ac:dyDescent="0.2">
      <c r="C47" s="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136"/>
      <c r="AS47" s="9"/>
      <c r="AT47" s="9"/>
      <c r="AU47" s="9"/>
      <c r="AV47" s="9"/>
      <c r="AW47" s="9"/>
      <c r="AX47" s="9"/>
    </row>
    <row r="48" spans="2:51" x14ac:dyDescent="0.2">
      <c r="C48" s="4" t="s">
        <v>72</v>
      </c>
      <c r="D48" s="8"/>
      <c r="E48" s="8"/>
      <c r="F48" s="8">
        <v>1097.5609999999999</v>
      </c>
      <c r="G48" s="8"/>
      <c r="H48" s="8">
        <v>2242.3580000000002</v>
      </c>
      <c r="I48" s="8"/>
      <c r="J48" s="8">
        <v>1906.0039999999999</v>
      </c>
      <c r="K48" s="8"/>
      <c r="L48" s="8">
        <v>1906.0039999999999</v>
      </c>
      <c r="M48" s="8"/>
      <c r="N48" s="8">
        <v>1906</v>
      </c>
      <c r="O48" s="8"/>
      <c r="P48" s="8">
        <v>1906</v>
      </c>
      <c r="Q48" s="8"/>
      <c r="R48" s="8">
        <v>1716</v>
      </c>
      <c r="S48" s="9"/>
      <c r="T48" s="8">
        <v>1716</v>
      </c>
      <c r="U48" s="8">
        <v>1716</v>
      </c>
      <c r="V48" s="8">
        <v>1716</v>
      </c>
      <c r="W48" s="8">
        <v>1871</v>
      </c>
      <c r="X48" s="8">
        <v>1871</v>
      </c>
      <c r="Y48" s="8">
        <v>1969</v>
      </c>
      <c r="Z48" s="8">
        <v>1969</v>
      </c>
      <c r="AA48" s="8">
        <v>1969</v>
      </c>
      <c r="AB48" s="8">
        <v>1969</v>
      </c>
      <c r="AC48" s="8">
        <v>1969</v>
      </c>
      <c r="AD48" s="8">
        <v>1969</v>
      </c>
      <c r="AE48" s="8">
        <v>1969</v>
      </c>
      <c r="AF48" s="8">
        <v>1969</v>
      </c>
      <c r="AG48" s="8">
        <v>1969</v>
      </c>
      <c r="AH48" s="8">
        <v>1969</v>
      </c>
      <c r="AI48" s="8">
        <v>1969</v>
      </c>
      <c r="AJ48" s="8">
        <v>1969</v>
      </c>
      <c r="AK48" s="8">
        <v>1969</v>
      </c>
      <c r="AL48" s="8">
        <v>1969</v>
      </c>
      <c r="AM48" s="8">
        <v>1969</v>
      </c>
      <c r="AN48" s="8">
        <v>1969</v>
      </c>
      <c r="AO48" s="8">
        <v>1969</v>
      </c>
      <c r="AP48" s="8">
        <v>1969</v>
      </c>
      <c r="AQ48" s="8">
        <v>1969</v>
      </c>
      <c r="AR48" s="8">
        <v>2069</v>
      </c>
      <c r="AS48" s="8">
        <v>2069</v>
      </c>
      <c r="AT48" s="8">
        <v>2069</v>
      </c>
      <c r="AU48" s="8">
        <v>2069</v>
      </c>
      <c r="AV48" s="8">
        <v>2069</v>
      </c>
      <c r="AW48" s="8">
        <v>2069</v>
      </c>
      <c r="AX48" s="8">
        <v>2252</v>
      </c>
    </row>
    <row r="49" spans="2:62" x14ac:dyDescent="0.2">
      <c r="C49" s="4" t="s">
        <v>73</v>
      </c>
      <c r="D49" s="8"/>
      <c r="E49" s="8"/>
      <c r="F49" s="8">
        <v>0</v>
      </c>
      <c r="G49" s="8"/>
      <c r="H49" s="8">
        <v>0</v>
      </c>
      <c r="I49" s="8"/>
      <c r="J49" s="8">
        <v>0</v>
      </c>
      <c r="K49" s="8"/>
      <c r="L49" s="8">
        <v>0</v>
      </c>
      <c r="M49" s="8"/>
      <c r="N49" s="8">
        <v>-190</v>
      </c>
      <c r="O49" s="8"/>
      <c r="P49" s="8">
        <v>-190</v>
      </c>
      <c r="Q49" s="8"/>
      <c r="R49" s="8">
        <v>0</v>
      </c>
      <c r="S49" s="9"/>
      <c r="T49" s="8"/>
      <c r="U49" s="8"/>
      <c r="V49" s="8"/>
      <c r="W49" s="8"/>
      <c r="X49" s="8"/>
      <c r="Y49" s="8"/>
      <c r="Z49" s="8"/>
      <c r="AA49" s="8"/>
      <c r="AB49" s="8"/>
      <c r="AC49" s="8">
        <v>-5211</v>
      </c>
      <c r="AD49" s="8">
        <v>-5211</v>
      </c>
      <c r="AE49" s="8">
        <v>-5211</v>
      </c>
      <c r="AF49" s="8">
        <v>-5211</v>
      </c>
      <c r="AG49" s="8">
        <v>-5211</v>
      </c>
      <c r="AH49" s="8">
        <v>-5211</v>
      </c>
      <c r="AI49" s="8">
        <v>-5211</v>
      </c>
      <c r="AJ49" s="8">
        <v>-5211</v>
      </c>
      <c r="AK49" s="8">
        <v>-5211</v>
      </c>
      <c r="AL49" s="8">
        <v>-5211</v>
      </c>
      <c r="AM49" s="8">
        <v>-5211</v>
      </c>
      <c r="AN49" s="8">
        <v>-5211</v>
      </c>
      <c r="AO49" s="8">
        <v>-5008</v>
      </c>
      <c r="AP49" s="8">
        <v>-5008</v>
      </c>
      <c r="AQ49" s="8">
        <v>-5008</v>
      </c>
      <c r="AR49" s="8">
        <v>-877</v>
      </c>
      <c r="AS49" s="8">
        <v>-819</v>
      </c>
      <c r="AT49" s="8">
        <v>-577</v>
      </c>
      <c r="AU49" s="8">
        <v>-577</v>
      </c>
      <c r="AV49" s="8">
        <v>-547</v>
      </c>
      <c r="AW49" s="8">
        <v>-544</v>
      </c>
      <c r="AX49" s="8">
        <v>-544</v>
      </c>
    </row>
    <row r="50" spans="2:62" x14ac:dyDescent="0.2">
      <c r="C50" s="4" t="s">
        <v>74</v>
      </c>
      <c r="D50" s="8"/>
      <c r="E50" s="8"/>
      <c r="F50" s="8">
        <v>2428.96</v>
      </c>
      <c r="G50" s="8"/>
      <c r="H50" s="8">
        <v>2428.96</v>
      </c>
      <c r="I50" s="8"/>
      <c r="J50" s="8">
        <v>2736.614</v>
      </c>
      <c r="K50" s="8"/>
      <c r="L50" s="8">
        <v>2736.614</v>
      </c>
      <c r="M50" s="8"/>
      <c r="N50" s="8">
        <v>2382</v>
      </c>
      <c r="O50" s="8"/>
      <c r="P50" s="8">
        <v>2382</v>
      </c>
      <c r="Q50" s="8"/>
      <c r="R50" s="8">
        <v>2382</v>
      </c>
      <c r="S50" s="9"/>
      <c r="T50" s="8">
        <v>2852</v>
      </c>
      <c r="U50" s="8">
        <v>2852</v>
      </c>
      <c r="V50" s="8">
        <v>9569</v>
      </c>
      <c r="W50" s="8">
        <v>19100</v>
      </c>
      <c r="X50" s="8">
        <v>19100</v>
      </c>
      <c r="Y50" s="8">
        <v>25082</v>
      </c>
      <c r="Z50" s="8">
        <v>25082</v>
      </c>
      <c r="AA50" s="8">
        <v>25082</v>
      </c>
      <c r="AB50" s="8">
        <v>25082</v>
      </c>
      <c r="AC50" s="8">
        <v>25082</v>
      </c>
      <c r="AD50" s="8">
        <v>25268</v>
      </c>
      <c r="AE50" s="8">
        <v>25667</v>
      </c>
      <c r="AF50" s="8">
        <v>25842</v>
      </c>
      <c r="AG50" s="8">
        <v>25727</v>
      </c>
      <c r="AH50" s="8">
        <v>25770</v>
      </c>
      <c r="AI50" s="8">
        <v>25814</v>
      </c>
      <c r="AJ50" s="8">
        <v>25857</v>
      </c>
      <c r="AK50" s="8">
        <v>25875</v>
      </c>
      <c r="AL50" s="8">
        <v>25893</v>
      </c>
      <c r="AM50" s="8">
        <v>25911</v>
      </c>
      <c r="AN50" s="8">
        <v>25929</v>
      </c>
      <c r="AO50" s="8">
        <v>25934</v>
      </c>
      <c r="AP50" s="8">
        <v>25940</v>
      </c>
      <c r="AQ50" s="8">
        <v>25946</v>
      </c>
      <c r="AR50" s="8">
        <v>36482</v>
      </c>
      <c r="AS50" s="8">
        <v>52013</v>
      </c>
      <c r="AT50" s="8">
        <v>65264</v>
      </c>
      <c r="AU50" s="8">
        <v>65264</v>
      </c>
      <c r="AV50" s="8">
        <v>65264</v>
      </c>
      <c r="AW50" s="8">
        <v>65264</v>
      </c>
      <c r="AX50" s="8">
        <v>65082</v>
      </c>
    </row>
    <row r="51" spans="2:62" x14ac:dyDescent="0.2">
      <c r="C51" s="4" t="s">
        <v>157</v>
      </c>
      <c r="D51" s="8"/>
      <c r="E51" s="8"/>
      <c r="F51" s="8">
        <v>0</v>
      </c>
      <c r="G51" s="8"/>
      <c r="H51" s="8">
        <v>0</v>
      </c>
      <c r="I51" s="8"/>
      <c r="J51" s="8">
        <v>0</v>
      </c>
      <c r="K51" s="8"/>
      <c r="L51" s="8">
        <v>0</v>
      </c>
      <c r="M51" s="8"/>
      <c r="N51" s="8">
        <v>0</v>
      </c>
      <c r="O51" s="8"/>
      <c r="P51" s="8">
        <v>0</v>
      </c>
      <c r="Q51" s="8"/>
      <c r="R51" s="8">
        <v>1588</v>
      </c>
      <c r="S51" s="9"/>
      <c r="T51" s="8">
        <v>806</v>
      </c>
      <c r="U51" s="8">
        <v>885</v>
      </c>
      <c r="V51" s="8">
        <v>-122</v>
      </c>
      <c r="W51" s="8">
        <v>-385</v>
      </c>
      <c r="X51" s="8">
        <v>-133</v>
      </c>
      <c r="Y51" s="8">
        <v>-133</v>
      </c>
      <c r="Z51" s="8">
        <v>-133</v>
      </c>
      <c r="AA51" s="8">
        <v>-173</v>
      </c>
      <c r="AB51" s="8">
        <v>-161</v>
      </c>
      <c r="AC51" s="8">
        <v>-1539</v>
      </c>
      <c r="AD51" s="8">
        <v>412</v>
      </c>
      <c r="AE51" s="8">
        <v>-371</v>
      </c>
      <c r="AF51" s="8">
        <v>980</v>
      </c>
      <c r="AG51" s="8">
        <v>-3687</v>
      </c>
      <c r="AH51" s="8">
        <v>-3594</v>
      </c>
      <c r="AI51" s="8">
        <v>2863</v>
      </c>
      <c r="AJ51" s="8">
        <v>-2385</v>
      </c>
      <c r="AK51" s="8">
        <v>-25283</v>
      </c>
      <c r="AL51" s="8">
        <v>-10906</v>
      </c>
      <c r="AM51" s="8">
        <v>-18533</v>
      </c>
      <c r="AN51" s="8">
        <v>-17228</v>
      </c>
      <c r="AO51" s="8">
        <v>-18254</v>
      </c>
      <c r="AP51" s="8">
        <v>-15310</v>
      </c>
      <c r="AQ51" s="8">
        <v>-18895</v>
      </c>
      <c r="AR51" s="8">
        <v>-17290</v>
      </c>
      <c r="AS51" s="8">
        <v>-19372</v>
      </c>
      <c r="AT51" s="8">
        <v>-23090</v>
      </c>
      <c r="AU51" s="8">
        <v>-25314</v>
      </c>
      <c r="AV51" s="8">
        <v>-23733</v>
      </c>
      <c r="AW51" s="8">
        <v>-22437</v>
      </c>
      <c r="AX51" s="8">
        <v>-19731</v>
      </c>
    </row>
    <row r="52" spans="2:62" x14ac:dyDescent="0.2">
      <c r="C52" s="4" t="s">
        <v>75</v>
      </c>
      <c r="D52" s="8"/>
      <c r="E52" s="8"/>
      <c r="F52" s="8">
        <v>0</v>
      </c>
      <c r="G52" s="8"/>
      <c r="H52" s="8">
        <v>0</v>
      </c>
      <c r="I52" s="8"/>
      <c r="J52" s="8">
        <v>0</v>
      </c>
      <c r="K52" s="8"/>
      <c r="L52" s="8">
        <v>0</v>
      </c>
      <c r="M52" s="8"/>
      <c r="N52" s="8">
        <v>0</v>
      </c>
      <c r="O52" s="8"/>
      <c r="P52" s="8">
        <v>0</v>
      </c>
      <c r="Q52" s="8"/>
      <c r="R52" s="8"/>
      <c r="S52" s="9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>
        <v>17</v>
      </c>
      <c r="AK52" s="8">
        <v>8</v>
      </c>
      <c r="AL52" s="8">
        <v>77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</row>
    <row r="53" spans="2:62" x14ac:dyDescent="0.2">
      <c r="C53" s="4" t="s">
        <v>76</v>
      </c>
      <c r="D53" s="8"/>
      <c r="E53" s="8"/>
      <c r="F53" s="8">
        <v>0</v>
      </c>
      <c r="G53" s="8"/>
      <c r="H53" s="8">
        <v>0</v>
      </c>
      <c r="I53" s="8"/>
      <c r="J53" s="8">
        <v>0</v>
      </c>
      <c r="K53" s="8"/>
      <c r="L53" s="8">
        <v>0</v>
      </c>
      <c r="M53" s="8"/>
      <c r="N53" s="8">
        <v>0</v>
      </c>
      <c r="O53" s="8"/>
      <c r="P53" s="8">
        <v>0</v>
      </c>
      <c r="Q53" s="8"/>
      <c r="R53" s="8">
        <v>5770</v>
      </c>
      <c r="S53" s="9"/>
      <c r="T53" s="8">
        <v>0</v>
      </c>
      <c r="U53" s="8">
        <v>5650</v>
      </c>
      <c r="V53" s="8">
        <v>6279</v>
      </c>
      <c r="W53" s="8">
        <v>6580</v>
      </c>
      <c r="X53" s="8">
        <v>6975</v>
      </c>
      <c r="Y53" s="8">
        <v>6302</v>
      </c>
      <c r="Z53" s="8">
        <v>6308</v>
      </c>
      <c r="AA53" s="8">
        <v>6442</v>
      </c>
      <c r="AB53" s="8">
        <v>6191</v>
      </c>
      <c r="AC53" s="8">
        <v>27561</v>
      </c>
      <c r="AD53" s="8">
        <v>24816</v>
      </c>
      <c r="AE53" s="8">
        <v>28289</v>
      </c>
      <c r="AF53" s="8">
        <v>26216</v>
      </c>
      <c r="AG53" s="8">
        <v>26868</v>
      </c>
      <c r="AH53" s="8">
        <v>25679</v>
      </c>
      <c r="AI53" s="8">
        <v>25818</v>
      </c>
      <c r="AJ53" s="8">
        <v>40714</v>
      </c>
      <c r="AK53" s="8">
        <v>45211</v>
      </c>
      <c r="AL53" s="8">
        <v>25188</v>
      </c>
      <c r="AM53" s="8">
        <v>23306</v>
      </c>
      <c r="AN53" s="8">
        <v>27061</v>
      </c>
      <c r="AO53" s="8">
        <v>29687</v>
      </c>
      <c r="AP53" s="8">
        <v>33539</v>
      </c>
      <c r="AQ53" s="8">
        <v>37560</v>
      </c>
      <c r="AR53" s="8">
        <v>34490</v>
      </c>
      <c r="AS53" s="8">
        <v>35566</v>
      </c>
      <c r="AT53" s="8">
        <v>32994</v>
      </c>
      <c r="AU53" s="8">
        <v>37002</v>
      </c>
      <c r="AV53" s="8">
        <v>41914</v>
      </c>
      <c r="AW53" s="8">
        <v>12034</v>
      </c>
      <c r="AX53" s="8">
        <v>20947</v>
      </c>
      <c r="AY53" s="243"/>
    </row>
    <row r="54" spans="2:62" x14ac:dyDescent="0.2">
      <c r="C54" s="4" t="s">
        <v>77</v>
      </c>
      <c r="D54" s="8"/>
      <c r="E54" s="8"/>
      <c r="F54" s="8">
        <v>24.334</v>
      </c>
      <c r="G54" s="8"/>
      <c r="H54" s="8">
        <v>14.57</v>
      </c>
      <c r="I54" s="8"/>
      <c r="J54" s="8">
        <v>60.845999999999997</v>
      </c>
      <c r="K54" s="8"/>
      <c r="L54" s="8">
        <v>133.637</v>
      </c>
      <c r="M54" s="8"/>
      <c r="N54" s="8">
        <v>22</v>
      </c>
      <c r="O54" s="8"/>
      <c r="P54" s="8">
        <v>26</v>
      </c>
      <c r="Q54" s="8"/>
      <c r="R54" s="8">
        <v>89</v>
      </c>
      <c r="S54" s="9"/>
      <c r="T54" s="8">
        <v>122</v>
      </c>
      <c r="U54" s="8">
        <v>118</v>
      </c>
      <c r="V54" s="8">
        <v>115</v>
      </c>
      <c r="W54" s="8">
        <v>115</v>
      </c>
      <c r="X54" s="8">
        <v>349</v>
      </c>
      <c r="Y54" s="8">
        <v>349</v>
      </c>
      <c r="Z54" s="8">
        <v>347</v>
      </c>
      <c r="AA54" s="8">
        <v>347</v>
      </c>
      <c r="AB54" s="8">
        <v>404</v>
      </c>
      <c r="AC54" s="8">
        <v>404</v>
      </c>
      <c r="AD54" s="8">
        <v>400</v>
      </c>
      <c r="AE54" s="8">
        <v>400</v>
      </c>
      <c r="AF54" s="8">
        <v>452</v>
      </c>
      <c r="AG54" s="8">
        <v>452</v>
      </c>
      <c r="AH54" s="8">
        <v>452</v>
      </c>
      <c r="AI54" s="8">
        <v>425</v>
      </c>
      <c r="AJ54" s="8">
        <v>815</v>
      </c>
      <c r="AK54" s="8">
        <v>812</v>
      </c>
      <c r="AL54" s="8">
        <v>799</v>
      </c>
      <c r="AM54" s="8">
        <v>715</v>
      </c>
      <c r="AN54" s="8">
        <v>539</v>
      </c>
      <c r="AO54" s="8">
        <v>475</v>
      </c>
      <c r="AP54" s="8">
        <v>411</v>
      </c>
      <c r="AQ54" s="8">
        <v>370</v>
      </c>
      <c r="AR54" s="8">
        <v>424</v>
      </c>
      <c r="AS54" s="8">
        <v>424</v>
      </c>
      <c r="AT54" s="8">
        <v>1824</v>
      </c>
      <c r="AU54" s="8">
        <v>1824</v>
      </c>
      <c r="AV54" s="8">
        <v>867</v>
      </c>
      <c r="AW54" s="8">
        <v>815</v>
      </c>
      <c r="AX54" s="8">
        <v>815</v>
      </c>
    </row>
    <row r="55" spans="2:62" x14ac:dyDescent="0.2">
      <c r="C55" s="4" t="s">
        <v>78</v>
      </c>
      <c r="D55" s="8"/>
      <c r="E55" s="8"/>
      <c r="F55" s="8">
        <v>896.096</v>
      </c>
      <c r="G55" s="8"/>
      <c r="H55" s="8">
        <v>2487.5970000000002</v>
      </c>
      <c r="I55" s="8"/>
      <c r="J55" s="8">
        <v>4501.0259999999998</v>
      </c>
      <c r="K55" s="8"/>
      <c r="L55" s="8">
        <v>8041.3530000000001</v>
      </c>
      <c r="M55" s="8"/>
      <c r="N55" s="8">
        <v>7482</v>
      </c>
      <c r="O55" s="8"/>
      <c r="P55" s="8">
        <v>22980</v>
      </c>
      <c r="Q55" s="8"/>
      <c r="R55" s="8">
        <v>52249</v>
      </c>
      <c r="S55" s="9"/>
      <c r="T55" s="8">
        <v>78302</v>
      </c>
      <c r="U55" s="8">
        <v>76018</v>
      </c>
      <c r="V55" s="8">
        <v>80006</v>
      </c>
      <c r="W55" s="8">
        <v>83912</v>
      </c>
      <c r="X55" s="8">
        <v>83896</v>
      </c>
      <c r="Y55" s="8">
        <v>87069</v>
      </c>
      <c r="Z55" s="8">
        <v>91569</v>
      </c>
      <c r="AA55" s="8">
        <v>97619</v>
      </c>
      <c r="AB55" s="8">
        <v>103568</v>
      </c>
      <c r="AC55" s="8">
        <v>85934</v>
      </c>
      <c r="AD55" s="8">
        <v>109211</v>
      </c>
      <c r="AE55" s="8">
        <v>117283</v>
      </c>
      <c r="AF55" s="8">
        <v>136011</v>
      </c>
      <c r="AG55" s="8">
        <v>139328</v>
      </c>
      <c r="AH55" s="8">
        <v>153541</v>
      </c>
      <c r="AI55" s="8">
        <v>169385</v>
      </c>
      <c r="AJ55" s="8">
        <v>180151</v>
      </c>
      <c r="AK55" s="8">
        <v>137446</v>
      </c>
      <c r="AL55" s="8">
        <v>122132</v>
      </c>
      <c r="AM55" s="8">
        <v>128716</v>
      </c>
      <c r="AN55" s="8">
        <v>158641</v>
      </c>
      <c r="AO55" s="8">
        <v>179053</v>
      </c>
      <c r="AP55" s="8">
        <v>204856</v>
      </c>
      <c r="AQ55" s="8">
        <v>226310</v>
      </c>
      <c r="AR55" s="8">
        <v>241841</v>
      </c>
      <c r="AS55" s="8">
        <v>264999</v>
      </c>
      <c r="AT55" s="8">
        <v>257458</v>
      </c>
      <c r="AU55" s="8">
        <v>269924</v>
      </c>
      <c r="AV55" s="8">
        <v>285547</v>
      </c>
      <c r="AW55" s="8">
        <v>306898</v>
      </c>
      <c r="AX55" s="8">
        <v>306039</v>
      </c>
      <c r="AY55" s="297"/>
    </row>
    <row r="56" spans="2:62" s="13" customFormat="1" x14ac:dyDescent="0.2">
      <c r="C56" s="13" t="s">
        <v>79</v>
      </c>
      <c r="D56" s="14">
        <v>2834.1179999999999</v>
      </c>
      <c r="E56" s="14">
        <v>3439.9189999999999</v>
      </c>
      <c r="F56" s="17">
        <f t="shared" ref="F56:N56" si="4">SUM(F48:F55)</f>
        <v>4446.9509999999991</v>
      </c>
      <c r="G56" s="14">
        <v>5839.9340000000002</v>
      </c>
      <c r="H56" s="17">
        <f t="shared" si="4"/>
        <v>7173.4850000000006</v>
      </c>
      <c r="I56" s="14">
        <v>6986.6549999999997</v>
      </c>
      <c r="J56" s="17">
        <f t="shared" si="4"/>
        <v>9204.49</v>
      </c>
      <c r="K56" s="14">
        <v>10793.835999999999</v>
      </c>
      <c r="L56" s="17">
        <f t="shared" si="4"/>
        <v>12817.608</v>
      </c>
      <c r="M56" s="14">
        <v>14815.681</v>
      </c>
      <c r="N56" s="17">
        <f t="shared" si="4"/>
        <v>11602</v>
      </c>
      <c r="O56" s="14">
        <v>20986.76</v>
      </c>
      <c r="P56" s="17">
        <f>SUM(P48:P55)</f>
        <v>27104</v>
      </c>
      <c r="Q56" s="14">
        <v>47047</v>
      </c>
      <c r="R56" s="17">
        <f>SUM(R48:R55)</f>
        <v>63794</v>
      </c>
      <c r="S56" s="8">
        <v>68311</v>
      </c>
      <c r="T56" s="17">
        <f t="shared" ref="T56:AX56" si="5">SUM(T48:T55)</f>
        <v>83798</v>
      </c>
      <c r="U56" s="17">
        <f t="shared" si="5"/>
        <v>87239</v>
      </c>
      <c r="V56" s="17">
        <f t="shared" si="5"/>
        <v>97563</v>
      </c>
      <c r="W56" s="17">
        <f t="shared" si="5"/>
        <v>111193</v>
      </c>
      <c r="X56" s="17">
        <f t="shared" si="5"/>
        <v>112058</v>
      </c>
      <c r="Y56" s="17">
        <f t="shared" si="5"/>
        <v>120638</v>
      </c>
      <c r="Z56" s="17">
        <f t="shared" si="5"/>
        <v>125142</v>
      </c>
      <c r="AA56" s="17">
        <f t="shared" si="5"/>
        <v>131286</v>
      </c>
      <c r="AB56" s="17">
        <f t="shared" si="5"/>
        <v>137053</v>
      </c>
      <c r="AC56" s="17">
        <f t="shared" si="5"/>
        <v>134200</v>
      </c>
      <c r="AD56" s="17">
        <f t="shared" si="5"/>
        <v>156865</v>
      </c>
      <c r="AE56" s="17">
        <f t="shared" si="5"/>
        <v>168026</v>
      </c>
      <c r="AF56" s="17">
        <f t="shared" si="5"/>
        <v>186259</v>
      </c>
      <c r="AG56" s="17">
        <f t="shared" si="5"/>
        <v>185446</v>
      </c>
      <c r="AH56" s="17">
        <f t="shared" si="5"/>
        <v>198606</v>
      </c>
      <c r="AI56" s="17">
        <f t="shared" si="5"/>
        <v>221063</v>
      </c>
      <c r="AJ56" s="17">
        <f t="shared" si="5"/>
        <v>241927</v>
      </c>
      <c r="AK56" s="17">
        <f t="shared" si="5"/>
        <v>180827</v>
      </c>
      <c r="AL56" s="17">
        <f t="shared" si="5"/>
        <v>159941</v>
      </c>
      <c r="AM56" s="17">
        <f t="shared" si="5"/>
        <v>156873</v>
      </c>
      <c r="AN56" s="17">
        <f t="shared" si="5"/>
        <v>191700</v>
      </c>
      <c r="AO56" s="17">
        <f t="shared" si="5"/>
        <v>213856</v>
      </c>
      <c r="AP56" s="17">
        <f t="shared" si="5"/>
        <v>246397</v>
      </c>
      <c r="AQ56" s="17">
        <f t="shared" si="5"/>
        <v>268252</v>
      </c>
      <c r="AR56" s="17">
        <f t="shared" si="5"/>
        <v>297139</v>
      </c>
      <c r="AS56" s="17">
        <f t="shared" si="5"/>
        <v>334880</v>
      </c>
      <c r="AT56" s="17">
        <f t="shared" si="5"/>
        <v>335942</v>
      </c>
      <c r="AU56" s="17">
        <f t="shared" si="5"/>
        <v>350192</v>
      </c>
      <c r="AV56" s="17">
        <f t="shared" si="5"/>
        <v>371381</v>
      </c>
      <c r="AW56" s="17">
        <f t="shared" si="5"/>
        <v>364099</v>
      </c>
      <c r="AX56" s="17">
        <f t="shared" si="5"/>
        <v>374860</v>
      </c>
      <c r="AY56" s="320"/>
    </row>
    <row r="57" spans="2:62" s="9" customFormat="1" x14ac:dyDescent="0.2">
      <c r="C57" s="9" t="s">
        <v>80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720.77099999999996</v>
      </c>
      <c r="P57" s="8">
        <v>217</v>
      </c>
      <c r="Q57" s="8">
        <v>885</v>
      </c>
      <c r="R57" s="8">
        <v>122</v>
      </c>
      <c r="S57" s="8">
        <v>383</v>
      </c>
      <c r="T57" s="8">
        <v>1620</v>
      </c>
      <c r="U57" s="8">
        <v>1702</v>
      </c>
      <c r="V57" s="8">
        <v>7182</v>
      </c>
      <c r="W57" s="8">
        <v>1946</v>
      </c>
      <c r="X57" s="8">
        <v>1978</v>
      </c>
      <c r="Y57" s="8">
        <v>1898</v>
      </c>
      <c r="Z57" s="8">
        <v>1950</v>
      </c>
      <c r="AA57" s="8">
        <v>1982</v>
      </c>
      <c r="AB57" s="8">
        <v>2031</v>
      </c>
      <c r="AC57" s="8">
        <v>2063</v>
      </c>
      <c r="AD57" s="8">
        <v>2232</v>
      </c>
      <c r="AE57" s="8">
        <v>2123</v>
      </c>
      <c r="AF57" s="8">
        <v>2030</v>
      </c>
      <c r="AG57" s="8">
        <v>2036</v>
      </c>
      <c r="AH57" s="8">
        <v>8300</v>
      </c>
      <c r="AI57" s="8">
        <v>2613</v>
      </c>
      <c r="AJ57" s="8">
        <v>1025</v>
      </c>
      <c r="AK57" s="8">
        <v>484</v>
      </c>
      <c r="AL57" s="8">
        <v>343</v>
      </c>
      <c r="AM57" s="8">
        <v>302</v>
      </c>
      <c r="AN57" s="8">
        <v>415</v>
      </c>
      <c r="AO57" s="8">
        <v>580</v>
      </c>
      <c r="AP57" s="8">
        <v>813</v>
      </c>
      <c r="AQ57" s="8">
        <v>979</v>
      </c>
      <c r="AR57" s="8">
        <v>1218</v>
      </c>
      <c r="AS57" s="8">
        <v>17864</v>
      </c>
      <c r="AT57" s="8">
        <v>16950</v>
      </c>
      <c r="AU57" s="8">
        <v>18134</v>
      </c>
      <c r="AV57" s="8">
        <v>18610</v>
      </c>
      <c r="AW57" s="8">
        <v>17156</v>
      </c>
      <c r="AX57" s="8">
        <v>5811</v>
      </c>
      <c r="AY57" s="160"/>
    </row>
    <row r="58" spans="2:62" s="13" customFormat="1" x14ac:dyDescent="0.2">
      <c r="C58" s="13" t="s">
        <v>81</v>
      </c>
      <c r="D58" s="15">
        <f t="shared" ref="D58:O58" si="6">SUM(D56:D57)</f>
        <v>2834.1179999999999</v>
      </c>
      <c r="E58" s="15">
        <f t="shared" si="6"/>
        <v>3439.9189999999999</v>
      </c>
      <c r="F58" s="15">
        <f t="shared" si="6"/>
        <v>4446.9509999999991</v>
      </c>
      <c r="G58" s="15">
        <f t="shared" si="6"/>
        <v>5839.9340000000002</v>
      </c>
      <c r="H58" s="15">
        <f t="shared" si="6"/>
        <v>7173.4850000000006</v>
      </c>
      <c r="I58" s="15">
        <f t="shared" si="6"/>
        <v>6986.6549999999997</v>
      </c>
      <c r="J58" s="15">
        <f t="shared" si="6"/>
        <v>9204.49</v>
      </c>
      <c r="K58" s="15">
        <f t="shared" si="6"/>
        <v>10793.835999999999</v>
      </c>
      <c r="L58" s="15">
        <f t="shared" si="6"/>
        <v>12817.608</v>
      </c>
      <c r="M58" s="15">
        <f t="shared" si="6"/>
        <v>14815.681</v>
      </c>
      <c r="N58" s="15">
        <f t="shared" si="6"/>
        <v>11602</v>
      </c>
      <c r="O58" s="15">
        <f t="shared" si="6"/>
        <v>21707.530999999999</v>
      </c>
      <c r="P58" s="15">
        <f t="shared" ref="P58:AF58" si="7">SUM(P56:P57)</f>
        <v>27321</v>
      </c>
      <c r="Q58" s="15">
        <f t="shared" si="7"/>
        <v>47932</v>
      </c>
      <c r="R58" s="15">
        <f t="shared" si="7"/>
        <v>63916</v>
      </c>
      <c r="S58" s="15">
        <f t="shared" si="7"/>
        <v>68694</v>
      </c>
      <c r="T58" s="15">
        <f t="shared" si="7"/>
        <v>85418</v>
      </c>
      <c r="U58" s="15">
        <f t="shared" si="7"/>
        <v>88941</v>
      </c>
      <c r="V58" s="15">
        <f t="shared" si="7"/>
        <v>104745</v>
      </c>
      <c r="W58" s="15">
        <f t="shared" si="7"/>
        <v>113139</v>
      </c>
      <c r="X58" s="15">
        <f t="shared" si="7"/>
        <v>114036</v>
      </c>
      <c r="Y58" s="15">
        <f t="shared" si="7"/>
        <v>122536</v>
      </c>
      <c r="Z58" s="15">
        <f t="shared" si="7"/>
        <v>127092</v>
      </c>
      <c r="AA58" s="15">
        <f t="shared" si="7"/>
        <v>133268</v>
      </c>
      <c r="AB58" s="15">
        <f t="shared" si="7"/>
        <v>139084</v>
      </c>
      <c r="AC58" s="15">
        <f t="shared" si="7"/>
        <v>136263</v>
      </c>
      <c r="AD58" s="15">
        <f t="shared" si="7"/>
        <v>159097</v>
      </c>
      <c r="AE58" s="15">
        <f t="shared" si="7"/>
        <v>170149</v>
      </c>
      <c r="AF58" s="15">
        <f t="shared" si="7"/>
        <v>188289</v>
      </c>
      <c r="AG58" s="15">
        <f t="shared" ref="AG58:AL58" si="8">SUM(AG56:AG57)</f>
        <v>187482</v>
      </c>
      <c r="AH58" s="15">
        <f t="shared" si="8"/>
        <v>206906</v>
      </c>
      <c r="AI58" s="15">
        <f t="shared" si="8"/>
        <v>223676</v>
      </c>
      <c r="AJ58" s="15">
        <f t="shared" si="8"/>
        <v>242952</v>
      </c>
      <c r="AK58" s="15">
        <f t="shared" si="8"/>
        <v>181311</v>
      </c>
      <c r="AL58" s="15">
        <f t="shared" si="8"/>
        <v>160284</v>
      </c>
      <c r="AM58" s="15">
        <f t="shared" ref="AM58:AN58" si="9">SUM(AM56:AM57)</f>
        <v>157175</v>
      </c>
      <c r="AN58" s="15">
        <f t="shared" si="9"/>
        <v>192115</v>
      </c>
      <c r="AO58" s="15">
        <f t="shared" ref="AO58:AP58" si="10">SUM(AO56:AO57)</f>
        <v>214436</v>
      </c>
      <c r="AP58" s="15">
        <f t="shared" si="10"/>
        <v>247210</v>
      </c>
      <c r="AQ58" s="15">
        <f t="shared" ref="AQ58:AR58" si="11">SUM(AQ56:AQ57)</f>
        <v>269231</v>
      </c>
      <c r="AR58" s="15">
        <f t="shared" si="11"/>
        <v>298357</v>
      </c>
      <c r="AS58" s="15">
        <f t="shared" ref="AS58:AV58" si="12">SUM(AS56:AS57)</f>
        <v>352744</v>
      </c>
      <c r="AT58" s="15">
        <f t="shared" si="12"/>
        <v>352892</v>
      </c>
      <c r="AU58" s="15">
        <f t="shared" si="12"/>
        <v>368326</v>
      </c>
      <c r="AV58" s="15">
        <f t="shared" si="12"/>
        <v>389991</v>
      </c>
      <c r="AW58" s="15">
        <f t="shared" ref="AW58:AX58" si="13">SUM(AW56:AW57)</f>
        <v>381255</v>
      </c>
      <c r="AX58" s="15">
        <f t="shared" si="13"/>
        <v>380671</v>
      </c>
      <c r="AY58" s="263"/>
    </row>
    <row r="59" spans="2:62" x14ac:dyDescent="0.2">
      <c r="C59" s="253" t="s">
        <v>466</v>
      </c>
      <c r="D59" s="9"/>
      <c r="E59" s="9"/>
      <c r="F59" s="9"/>
      <c r="G59" s="9"/>
      <c r="H59" s="9"/>
      <c r="I59" s="9"/>
      <c r="J59" s="9"/>
      <c r="K59" s="9"/>
      <c r="L59" s="9"/>
      <c r="M59" s="15">
        <f t="shared" ref="M59:R59" si="14">M58-M53</f>
        <v>14815.681</v>
      </c>
      <c r="N59" s="15">
        <f t="shared" si="14"/>
        <v>11602</v>
      </c>
      <c r="O59" s="15">
        <f t="shared" si="14"/>
        <v>21707.530999999999</v>
      </c>
      <c r="P59" s="15">
        <f t="shared" si="14"/>
        <v>27321</v>
      </c>
      <c r="Q59" s="15">
        <f t="shared" si="14"/>
        <v>47932</v>
      </c>
      <c r="R59" s="15">
        <f t="shared" si="14"/>
        <v>58146</v>
      </c>
      <c r="S59" s="9"/>
      <c r="T59" s="15">
        <f t="shared" ref="T59:W59" si="15">T58-T53</f>
        <v>85418</v>
      </c>
      <c r="U59" s="15">
        <f t="shared" si="15"/>
        <v>83291</v>
      </c>
      <c r="V59" s="15">
        <f t="shared" si="15"/>
        <v>98466</v>
      </c>
      <c r="W59" s="15">
        <f t="shared" si="15"/>
        <v>106559</v>
      </c>
      <c r="X59" s="15">
        <f t="shared" ref="X59" si="16">X58-X53</f>
        <v>107061</v>
      </c>
      <c r="Y59" s="15">
        <f t="shared" ref="Y59" si="17">Y58-Y53</f>
        <v>116234</v>
      </c>
      <c r="Z59" s="15">
        <f t="shared" ref="Z59" si="18">Z58-Z53</f>
        <v>120784</v>
      </c>
      <c r="AA59" s="15">
        <f t="shared" ref="AA59" si="19">AA58-AA53</f>
        <v>126826</v>
      </c>
      <c r="AB59" s="15">
        <f t="shared" ref="AB59" si="20">AB58-AB53</f>
        <v>132893</v>
      </c>
      <c r="AC59" s="15">
        <f t="shared" ref="AC59" si="21">AC58-AC53</f>
        <v>108702</v>
      </c>
      <c r="AD59" s="15">
        <f t="shared" ref="AD59:AM59" si="22">AD58-AD53</f>
        <v>134281</v>
      </c>
      <c r="AE59" s="15">
        <f t="shared" si="22"/>
        <v>141860</v>
      </c>
      <c r="AF59" s="15">
        <f t="shared" si="22"/>
        <v>162073</v>
      </c>
      <c r="AG59" s="15">
        <f t="shared" si="22"/>
        <v>160614</v>
      </c>
      <c r="AH59" s="15">
        <f t="shared" si="22"/>
        <v>181227</v>
      </c>
      <c r="AI59" s="15">
        <f t="shared" si="22"/>
        <v>197858</v>
      </c>
      <c r="AJ59" s="15">
        <f t="shared" si="22"/>
        <v>202238</v>
      </c>
      <c r="AK59" s="15">
        <f t="shared" si="22"/>
        <v>136100</v>
      </c>
      <c r="AL59" s="15">
        <f t="shared" si="22"/>
        <v>135096</v>
      </c>
      <c r="AM59" s="15">
        <f t="shared" si="22"/>
        <v>133869</v>
      </c>
      <c r="AN59" s="15">
        <f t="shared" ref="AN59:AV59" si="23">AN58-AN53-AN57</f>
        <v>164639</v>
      </c>
      <c r="AO59" s="15">
        <f t="shared" si="23"/>
        <v>184169</v>
      </c>
      <c r="AP59" s="15">
        <f t="shared" si="23"/>
        <v>212858</v>
      </c>
      <c r="AQ59" s="15">
        <f t="shared" si="23"/>
        <v>230692</v>
      </c>
      <c r="AR59" s="15">
        <f t="shared" si="23"/>
        <v>262649</v>
      </c>
      <c r="AS59" s="15">
        <f t="shared" si="23"/>
        <v>299314</v>
      </c>
      <c r="AT59" s="15">
        <f t="shared" si="23"/>
        <v>302948</v>
      </c>
      <c r="AU59" s="15">
        <f t="shared" si="23"/>
        <v>313190</v>
      </c>
      <c r="AV59" s="15">
        <f t="shared" si="23"/>
        <v>329467</v>
      </c>
      <c r="AW59" s="15">
        <f>AW58-AW53-AW57</f>
        <v>352065</v>
      </c>
      <c r="AX59" s="15">
        <f>AX58-AX53-AX57</f>
        <v>353913</v>
      </c>
      <c r="AY59" s="263"/>
      <c r="BA59" s="9"/>
      <c r="BB59" s="9"/>
      <c r="BC59" s="9"/>
      <c r="BD59" s="9"/>
      <c r="BE59" s="9"/>
      <c r="BF59" s="9"/>
      <c r="BG59" s="9"/>
      <c r="BH59" s="9"/>
      <c r="BI59" s="9"/>
      <c r="BJ59" s="9"/>
    </row>
    <row r="60" spans="2:62" x14ac:dyDescent="0.2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19"/>
      <c r="BA60" s="9"/>
      <c r="BB60" s="9"/>
      <c r="BC60" s="9"/>
      <c r="BD60" s="9"/>
      <c r="BE60" s="9"/>
      <c r="BF60" s="9"/>
      <c r="BG60" s="9"/>
      <c r="BH60" s="9"/>
      <c r="BI60" s="9"/>
      <c r="BJ60" s="9"/>
    </row>
    <row r="61" spans="2:62" s="48" customFormat="1" x14ac:dyDescent="0.2">
      <c r="B61" s="49"/>
      <c r="C61" s="48" t="s">
        <v>31</v>
      </c>
      <c r="D61" s="50"/>
      <c r="E61" s="50"/>
      <c r="F61" s="50">
        <f t="shared" ref="F61:R61" si="24">F58+F46-F35</f>
        <v>0</v>
      </c>
      <c r="G61" s="50">
        <f t="shared" si="24"/>
        <v>0</v>
      </c>
      <c r="H61" s="50">
        <f t="shared" si="24"/>
        <v>0</v>
      </c>
      <c r="I61" s="50">
        <f t="shared" si="24"/>
        <v>0</v>
      </c>
      <c r="J61" s="50">
        <f t="shared" si="24"/>
        <v>0</v>
      </c>
      <c r="K61" s="50">
        <f t="shared" si="24"/>
        <v>0</v>
      </c>
      <c r="L61" s="50">
        <f t="shared" si="24"/>
        <v>0</v>
      </c>
      <c r="M61" s="50">
        <f t="shared" si="24"/>
        <v>0</v>
      </c>
      <c r="N61" s="50">
        <f t="shared" si="24"/>
        <v>0</v>
      </c>
      <c r="O61" s="50">
        <f t="shared" si="24"/>
        <v>0</v>
      </c>
      <c r="P61" s="50">
        <f t="shared" si="24"/>
        <v>0</v>
      </c>
      <c r="Q61" s="50">
        <f t="shared" si="24"/>
        <v>0</v>
      </c>
      <c r="R61" s="50">
        <f t="shared" si="24"/>
        <v>0</v>
      </c>
      <c r="T61" s="50">
        <f t="shared" ref="T61:AX61" si="25">T58+T46-T35</f>
        <v>0</v>
      </c>
      <c r="U61" s="50">
        <f t="shared" si="25"/>
        <v>0</v>
      </c>
      <c r="V61" s="50">
        <f t="shared" si="25"/>
        <v>0</v>
      </c>
      <c r="W61" s="50">
        <f t="shared" si="25"/>
        <v>0</v>
      </c>
      <c r="X61" s="50">
        <f t="shared" si="25"/>
        <v>0</v>
      </c>
      <c r="Y61" s="50">
        <f t="shared" si="25"/>
        <v>0</v>
      </c>
      <c r="Z61" s="50">
        <f t="shared" si="25"/>
        <v>0</v>
      </c>
      <c r="AA61" s="50">
        <f t="shared" si="25"/>
        <v>0</v>
      </c>
      <c r="AB61" s="50">
        <f t="shared" si="25"/>
        <v>0</v>
      </c>
      <c r="AC61" s="50">
        <f t="shared" si="25"/>
        <v>0</v>
      </c>
      <c r="AD61" s="50">
        <f t="shared" si="25"/>
        <v>0</v>
      </c>
      <c r="AE61" s="50">
        <f t="shared" si="25"/>
        <v>0</v>
      </c>
      <c r="AF61" s="50">
        <f t="shared" si="25"/>
        <v>0</v>
      </c>
      <c r="AG61" s="50">
        <f t="shared" si="25"/>
        <v>0</v>
      </c>
      <c r="AH61" s="50">
        <f t="shared" si="25"/>
        <v>0</v>
      </c>
      <c r="AI61" s="50">
        <f t="shared" si="25"/>
        <v>0</v>
      </c>
      <c r="AJ61" s="50">
        <f t="shared" si="25"/>
        <v>0</v>
      </c>
      <c r="AK61" s="50">
        <f t="shared" si="25"/>
        <v>0</v>
      </c>
      <c r="AL61" s="50">
        <f t="shared" si="25"/>
        <v>0</v>
      </c>
      <c r="AM61" s="50">
        <f t="shared" si="25"/>
        <v>0</v>
      </c>
      <c r="AN61" s="50">
        <f t="shared" si="25"/>
        <v>0</v>
      </c>
      <c r="AO61" s="50">
        <f t="shared" si="25"/>
        <v>0</v>
      </c>
      <c r="AP61" s="50">
        <f t="shared" si="25"/>
        <v>0</v>
      </c>
      <c r="AQ61" s="50">
        <f t="shared" si="25"/>
        <v>0</v>
      </c>
      <c r="AR61" s="50">
        <f t="shared" si="25"/>
        <v>0</v>
      </c>
      <c r="AS61" s="50">
        <f t="shared" si="25"/>
        <v>0</v>
      </c>
      <c r="AT61" s="50">
        <f t="shared" si="25"/>
        <v>0</v>
      </c>
      <c r="AU61" s="50">
        <f t="shared" si="25"/>
        <v>0</v>
      </c>
      <c r="AV61" s="50">
        <f t="shared" si="25"/>
        <v>0</v>
      </c>
      <c r="AW61" s="50">
        <f t="shared" si="25"/>
        <v>0</v>
      </c>
      <c r="AX61" s="50">
        <f t="shared" si="25"/>
        <v>0</v>
      </c>
      <c r="BA61" s="49"/>
      <c r="BB61" s="49"/>
      <c r="BC61" s="49"/>
      <c r="BD61" s="49"/>
      <c r="BE61" s="49"/>
      <c r="BF61" s="49"/>
      <c r="BG61" s="49"/>
      <c r="BH61" s="49"/>
      <c r="BI61" s="49"/>
      <c r="BJ61" s="49"/>
    </row>
    <row r="62" spans="2:62" x14ac:dyDescent="0.2">
      <c r="O62" s="9"/>
      <c r="Q62" s="9"/>
      <c r="R62" s="19"/>
      <c r="BA62" s="9"/>
      <c r="BB62" s="9"/>
      <c r="BC62" s="9"/>
      <c r="BD62" s="9"/>
      <c r="BE62" s="9"/>
      <c r="BF62" s="9"/>
      <c r="BG62" s="9"/>
      <c r="BH62" s="9"/>
      <c r="BI62" s="9"/>
      <c r="BJ62" s="9"/>
    </row>
    <row r="63" spans="2:62" s="6" customFormat="1" x14ac:dyDescent="0.2">
      <c r="B63" s="13"/>
      <c r="C63" s="6" t="s">
        <v>82</v>
      </c>
      <c r="D63" s="25"/>
      <c r="E63" s="15"/>
      <c r="F63" s="15">
        <f t="shared" ref="F63:AX63" si="26">SUM(F12:F13,F15:F16,F220,F19:F20)</f>
        <v>13800.768</v>
      </c>
      <c r="G63" s="15">
        <f t="shared" si="26"/>
        <v>12759.046999999999</v>
      </c>
      <c r="H63" s="15">
        <f t="shared" si="26"/>
        <v>14422.5</v>
      </c>
      <c r="I63" s="15">
        <f t="shared" si="26"/>
        <v>13498.224999999999</v>
      </c>
      <c r="J63" s="15">
        <f t="shared" si="26"/>
        <v>79230.694000000003</v>
      </c>
      <c r="K63" s="15">
        <f t="shared" si="26"/>
        <v>35381.748999999996</v>
      </c>
      <c r="L63" s="15">
        <f t="shared" si="26"/>
        <v>107389.69</v>
      </c>
      <c r="M63" s="15">
        <f t="shared" si="26"/>
        <v>62969.156000000003</v>
      </c>
      <c r="N63" s="15">
        <f t="shared" si="26"/>
        <v>169712</v>
      </c>
      <c r="O63" s="15">
        <f t="shared" si="26"/>
        <v>136893.603</v>
      </c>
      <c r="P63" s="15">
        <f t="shared" si="26"/>
        <v>405757</v>
      </c>
      <c r="Q63" s="15">
        <f t="shared" si="26"/>
        <v>477046</v>
      </c>
      <c r="R63" s="15">
        <f t="shared" si="26"/>
        <v>524022</v>
      </c>
      <c r="S63" s="15">
        <f t="shared" si="26"/>
        <v>545795</v>
      </c>
      <c r="T63" s="15">
        <f t="shared" si="26"/>
        <v>624724</v>
      </c>
      <c r="U63" s="15">
        <f t="shared" si="26"/>
        <v>594761</v>
      </c>
      <c r="V63" s="15">
        <f t="shared" si="26"/>
        <v>716817</v>
      </c>
      <c r="W63" s="15">
        <f t="shared" si="26"/>
        <v>728747</v>
      </c>
      <c r="X63" s="15">
        <f t="shared" si="26"/>
        <v>815053</v>
      </c>
      <c r="Y63" s="15">
        <f t="shared" si="26"/>
        <v>807121</v>
      </c>
      <c r="Z63" s="15">
        <f t="shared" si="26"/>
        <v>789151</v>
      </c>
      <c r="AA63" s="15">
        <f t="shared" si="26"/>
        <v>812316</v>
      </c>
      <c r="AB63" s="15">
        <f t="shared" si="26"/>
        <v>983109</v>
      </c>
      <c r="AC63" s="15">
        <f t="shared" si="26"/>
        <v>1118016</v>
      </c>
      <c r="AD63" s="15">
        <f t="shared" si="26"/>
        <v>1338706</v>
      </c>
      <c r="AE63" s="15">
        <f t="shared" si="26"/>
        <v>1377302</v>
      </c>
      <c r="AF63" s="15">
        <f t="shared" si="26"/>
        <v>1282744</v>
      </c>
      <c r="AG63" s="15">
        <f t="shared" si="26"/>
        <v>1381662</v>
      </c>
      <c r="AH63" s="15">
        <f t="shared" si="26"/>
        <v>1581371</v>
      </c>
      <c r="AI63" s="15">
        <f t="shared" si="26"/>
        <v>1634066</v>
      </c>
      <c r="AJ63" s="15">
        <f t="shared" si="26"/>
        <v>1698680</v>
      </c>
      <c r="AK63" s="15">
        <f t="shared" si="26"/>
        <v>1685697</v>
      </c>
      <c r="AL63" s="15">
        <f t="shared" si="26"/>
        <v>1643866</v>
      </c>
      <c r="AM63" s="15">
        <f t="shared" si="26"/>
        <v>1795385</v>
      </c>
      <c r="AN63" s="15">
        <f t="shared" si="26"/>
        <v>1932613</v>
      </c>
      <c r="AO63" s="15">
        <f t="shared" si="26"/>
        <v>2028543</v>
      </c>
      <c r="AP63" s="15">
        <f t="shared" si="26"/>
        <v>2059970</v>
      </c>
      <c r="AQ63" s="15">
        <f t="shared" si="26"/>
        <v>2271807</v>
      </c>
      <c r="AR63" s="15">
        <f t="shared" si="26"/>
        <v>2470918</v>
      </c>
      <c r="AS63" s="15">
        <f t="shared" si="26"/>
        <v>2826273</v>
      </c>
      <c r="AT63" s="15">
        <f t="shared" si="26"/>
        <v>2936998</v>
      </c>
      <c r="AU63" s="15">
        <f t="shared" si="26"/>
        <v>3049639</v>
      </c>
      <c r="AV63" s="15">
        <f t="shared" si="26"/>
        <v>3295930</v>
      </c>
      <c r="AW63" s="15">
        <f t="shared" si="26"/>
        <v>3204203</v>
      </c>
      <c r="AX63" s="15">
        <f t="shared" si="26"/>
        <v>3268578</v>
      </c>
      <c r="AY63" s="145"/>
      <c r="AZ63" s="127" t="s">
        <v>443</v>
      </c>
      <c r="BA63" s="13"/>
      <c r="BB63" s="13"/>
      <c r="BC63" s="13"/>
      <c r="BD63" s="13"/>
      <c r="BE63" s="13"/>
      <c r="BF63" s="13"/>
      <c r="BG63" s="13"/>
      <c r="BH63" s="13"/>
      <c r="BI63" s="13"/>
      <c r="BJ63" s="13"/>
    </row>
    <row r="64" spans="2:62" x14ac:dyDescent="0.2"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20"/>
      <c r="P64" s="19"/>
      <c r="Q64" s="20"/>
      <c r="R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BA64" s="9"/>
      <c r="BB64" s="9"/>
      <c r="BC64" s="9"/>
      <c r="BD64" s="9"/>
      <c r="BE64" s="9"/>
      <c r="BF64" s="9"/>
      <c r="BG64" s="9"/>
      <c r="BH64" s="9"/>
      <c r="BI64" s="9"/>
      <c r="BJ64" s="9"/>
    </row>
    <row r="65" spans="2:62" x14ac:dyDescent="0.2">
      <c r="C65" s="120" t="s">
        <v>250</v>
      </c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>
        <v>30881</v>
      </c>
      <c r="Q65" s="106">
        <v>138513</v>
      </c>
      <c r="R65" s="106">
        <v>141654</v>
      </c>
      <c r="S65" s="106">
        <v>183601</v>
      </c>
      <c r="T65" s="106">
        <f>180056</f>
        <v>180056</v>
      </c>
      <c r="U65" s="19">
        <v>97022</v>
      </c>
      <c r="V65" s="106">
        <f>127091</f>
        <v>127091</v>
      </c>
      <c r="W65" s="106">
        <v>126161</v>
      </c>
      <c r="X65" s="106">
        <f>182059</f>
        <v>182059</v>
      </c>
      <c r="Y65" s="106">
        <f>96867</f>
        <v>96867</v>
      </c>
      <c r="Z65" s="106">
        <v>95457</v>
      </c>
      <c r="AA65" s="106">
        <v>67922</v>
      </c>
      <c r="AB65" s="106">
        <v>97743</v>
      </c>
      <c r="AC65" s="106">
        <v>208811</v>
      </c>
      <c r="AD65" s="106">
        <v>338631</v>
      </c>
      <c r="AE65" s="106">
        <v>256178</v>
      </c>
      <c r="AF65" s="106">
        <v>115674</v>
      </c>
      <c r="AG65" s="106">
        <v>49994</v>
      </c>
      <c r="AH65" s="106">
        <v>137630</v>
      </c>
      <c r="AI65" s="106">
        <v>139974</v>
      </c>
      <c r="AJ65" s="106">
        <v>165374</v>
      </c>
      <c r="AK65" s="106">
        <v>9602</v>
      </c>
      <c r="AL65" s="106">
        <v>118071</v>
      </c>
      <c r="AM65" s="106">
        <v>155272</v>
      </c>
      <c r="AN65" s="106">
        <v>54264</v>
      </c>
      <c r="AO65" s="106">
        <v>9000</v>
      </c>
      <c r="AP65" s="106">
        <v>10766</v>
      </c>
      <c r="AQ65" s="106">
        <v>15006</v>
      </c>
      <c r="AR65" s="106">
        <v>55306</v>
      </c>
      <c r="AS65" s="106">
        <v>37714</v>
      </c>
      <c r="AT65" s="106">
        <v>123265</v>
      </c>
      <c r="AU65" s="106">
        <v>77281</v>
      </c>
      <c r="AV65" s="106">
        <v>60654</v>
      </c>
      <c r="AW65" s="106">
        <v>79790</v>
      </c>
      <c r="AX65" s="106">
        <v>93390</v>
      </c>
      <c r="AY65" s="135"/>
      <c r="BA65" s="9"/>
      <c r="BB65" s="9"/>
      <c r="BC65" s="9"/>
      <c r="BD65" s="9"/>
      <c r="BE65" s="9"/>
      <c r="BF65" s="9"/>
      <c r="BG65" s="9"/>
      <c r="BH65" s="9"/>
      <c r="BI65" s="9"/>
      <c r="BJ65" s="9"/>
    </row>
    <row r="66" spans="2:62" s="32" customFormat="1" x14ac:dyDescent="0.2">
      <c r="B66" s="44"/>
      <c r="C66" s="120" t="s">
        <v>253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>
        <v>45943</v>
      </c>
      <c r="Q66" s="106">
        <v>2531</v>
      </c>
      <c r="R66" s="106">
        <v>505</v>
      </c>
      <c r="S66" s="106">
        <v>835</v>
      </c>
      <c r="T66" s="106">
        <f>4647</f>
        <v>4647</v>
      </c>
      <c r="U66" s="106">
        <v>9386</v>
      </c>
      <c r="V66" s="106">
        <f>8071</f>
        <v>8071</v>
      </c>
      <c r="W66" s="106">
        <v>8024</v>
      </c>
      <c r="X66" s="106">
        <f>6498</f>
        <v>6498</v>
      </c>
      <c r="Y66" s="106">
        <f>13115+10084</f>
        <v>23199</v>
      </c>
      <c r="Z66" s="106">
        <v>7916</v>
      </c>
      <c r="AA66" s="106">
        <v>8140</v>
      </c>
      <c r="AB66" s="106">
        <v>26285</v>
      </c>
      <c r="AC66" s="106">
        <v>32402</v>
      </c>
      <c r="AD66" s="106">
        <v>26630</v>
      </c>
      <c r="AE66" s="106">
        <v>109477</v>
      </c>
      <c r="AF66" s="106">
        <v>38236</v>
      </c>
      <c r="AG66" s="106">
        <v>38625</v>
      </c>
      <c r="AH66" s="106">
        <v>55605</v>
      </c>
      <c r="AI66" s="106">
        <v>56519</v>
      </c>
      <c r="AJ66" s="106">
        <v>78561</v>
      </c>
      <c r="AK66" s="106">
        <v>65897</v>
      </c>
      <c r="AL66" s="106">
        <v>6309</v>
      </c>
      <c r="AM66" s="106">
        <v>24242</v>
      </c>
      <c r="AN66" s="106">
        <v>39391</v>
      </c>
      <c r="AO66" s="106">
        <v>24182</v>
      </c>
      <c r="AP66" s="106">
        <v>25790</v>
      </c>
      <c r="AQ66" s="106">
        <v>69053</v>
      </c>
      <c r="AR66" s="106">
        <v>78427</v>
      </c>
      <c r="AS66" s="106">
        <v>142363</v>
      </c>
      <c r="AT66" s="106">
        <v>87990</v>
      </c>
      <c r="AU66" s="106">
        <v>118747</v>
      </c>
      <c r="AV66" s="106">
        <v>156628</v>
      </c>
      <c r="AW66" s="106">
        <v>243799</v>
      </c>
      <c r="AX66" s="106">
        <v>165265</v>
      </c>
      <c r="BA66" s="44"/>
      <c r="BB66" s="44"/>
      <c r="BC66" s="44"/>
      <c r="BD66" s="44"/>
      <c r="BE66" s="44"/>
      <c r="BF66" s="44"/>
      <c r="BG66" s="44"/>
      <c r="BH66" s="44"/>
      <c r="BI66" s="44"/>
      <c r="BJ66" s="44"/>
    </row>
    <row r="67" spans="2:62" s="32" customFormat="1" x14ac:dyDescent="0.2">
      <c r="B67" s="44"/>
      <c r="C67" s="120" t="s">
        <v>251</v>
      </c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>
        <v>7175</v>
      </c>
      <c r="U67" s="106"/>
      <c r="V67" s="106">
        <v>0</v>
      </c>
      <c r="W67" s="106">
        <v>0</v>
      </c>
      <c r="X67" s="106">
        <v>1291</v>
      </c>
      <c r="Y67" s="106">
        <v>4498</v>
      </c>
      <c r="Z67" s="106">
        <v>6768</v>
      </c>
      <c r="AA67" s="106">
        <v>2432</v>
      </c>
      <c r="AB67" s="106">
        <v>629</v>
      </c>
      <c r="AC67" s="106">
        <v>337</v>
      </c>
      <c r="AD67" s="106">
        <v>1467</v>
      </c>
      <c r="AE67" s="106">
        <v>10491</v>
      </c>
      <c r="AF67" s="106">
        <v>312</v>
      </c>
      <c r="AG67" s="106">
        <v>1558</v>
      </c>
      <c r="AH67" s="106">
        <v>5336</v>
      </c>
      <c r="AI67" s="106">
        <v>12304</v>
      </c>
      <c r="AJ67" s="106">
        <v>3656</v>
      </c>
      <c r="AK67" s="106">
        <v>4087</v>
      </c>
      <c r="AL67" s="106">
        <v>411</v>
      </c>
      <c r="AM67" s="106">
        <v>281</v>
      </c>
      <c r="AN67" s="106">
        <v>179</v>
      </c>
      <c r="AO67" s="106">
        <v>694</v>
      </c>
      <c r="AP67" s="106">
        <v>1718</v>
      </c>
      <c r="AQ67" s="106">
        <v>3993</v>
      </c>
      <c r="AR67" s="106">
        <v>1900</v>
      </c>
      <c r="AS67" s="106">
        <v>5481</v>
      </c>
      <c r="AT67" s="106">
        <v>8169</v>
      </c>
      <c r="AU67" s="106">
        <v>5394</v>
      </c>
      <c r="AV67" s="106">
        <v>3975</v>
      </c>
      <c r="AW67" s="106">
        <v>3437</v>
      </c>
      <c r="AX67" s="106">
        <v>3058</v>
      </c>
      <c r="BA67" s="44"/>
      <c r="BB67" s="44"/>
      <c r="BC67" s="44"/>
      <c r="BD67" s="44"/>
      <c r="BE67" s="44"/>
      <c r="BF67" s="44"/>
      <c r="BG67" s="44"/>
      <c r="BH67" s="44"/>
      <c r="BI67" s="44"/>
      <c r="BJ67" s="44"/>
    </row>
    <row r="68" spans="2:62" x14ac:dyDescent="0.2">
      <c r="C68" s="4" t="s">
        <v>252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>
        <f>SUM(P65:P67)</f>
        <v>76824</v>
      </c>
      <c r="Q68" s="8">
        <f t="shared" ref="Q68:W68" si="27">SUM(Q65:Q67)</f>
        <v>141044</v>
      </c>
      <c r="R68" s="8">
        <f t="shared" si="27"/>
        <v>142159</v>
      </c>
      <c r="S68" s="8">
        <f t="shared" si="27"/>
        <v>184436</v>
      </c>
      <c r="T68" s="8">
        <f t="shared" si="27"/>
        <v>191878</v>
      </c>
      <c r="U68" s="8">
        <f t="shared" si="27"/>
        <v>106408</v>
      </c>
      <c r="V68" s="8">
        <f t="shared" si="27"/>
        <v>135162</v>
      </c>
      <c r="W68" s="8">
        <f t="shared" si="27"/>
        <v>134185</v>
      </c>
      <c r="X68" s="8">
        <f>SUM(X65:X67)</f>
        <v>189848</v>
      </c>
      <c r="Y68" s="8">
        <f>SUM(Y65:Y67)</f>
        <v>124564</v>
      </c>
      <c r="Z68" s="8">
        <f>SUM(Z65:Z67)</f>
        <v>110141</v>
      </c>
      <c r="AA68" s="8">
        <f t="shared" ref="AA68:AF68" si="28">SUM(AA65:AA67)</f>
        <v>78494</v>
      </c>
      <c r="AB68" s="8">
        <f t="shared" si="28"/>
        <v>124657</v>
      </c>
      <c r="AC68" s="8">
        <f t="shared" si="28"/>
        <v>241550</v>
      </c>
      <c r="AD68" s="8">
        <f t="shared" si="28"/>
        <v>366728</v>
      </c>
      <c r="AE68" s="8">
        <f t="shared" si="28"/>
        <v>376146</v>
      </c>
      <c r="AF68" s="8">
        <f t="shared" si="28"/>
        <v>154222</v>
      </c>
      <c r="AG68" s="8">
        <f t="shared" ref="AG68:AL68" si="29">SUM(AG65:AG67)</f>
        <v>90177</v>
      </c>
      <c r="AH68" s="8">
        <f t="shared" si="29"/>
        <v>198571</v>
      </c>
      <c r="AI68" s="8">
        <f t="shared" si="29"/>
        <v>208797</v>
      </c>
      <c r="AJ68" s="8">
        <f t="shared" si="29"/>
        <v>247591</v>
      </c>
      <c r="AK68" s="8">
        <f t="shared" si="29"/>
        <v>79586</v>
      </c>
      <c r="AL68" s="8">
        <f t="shared" si="29"/>
        <v>124791</v>
      </c>
      <c r="AM68" s="8">
        <f t="shared" ref="AM68:AX68" si="30">SUM(AM65:AM67)</f>
        <v>179795</v>
      </c>
      <c r="AN68" s="8">
        <f t="shared" si="30"/>
        <v>93834</v>
      </c>
      <c r="AO68" s="8">
        <f t="shared" si="30"/>
        <v>33876</v>
      </c>
      <c r="AP68" s="8">
        <f t="shared" si="30"/>
        <v>38274</v>
      </c>
      <c r="AQ68" s="8">
        <f t="shared" si="30"/>
        <v>88052</v>
      </c>
      <c r="AR68" s="8">
        <f t="shared" si="30"/>
        <v>135633</v>
      </c>
      <c r="AS68" s="8">
        <f t="shared" si="30"/>
        <v>185558</v>
      </c>
      <c r="AT68" s="8">
        <f t="shared" si="30"/>
        <v>219424</v>
      </c>
      <c r="AU68" s="8">
        <f t="shared" si="30"/>
        <v>201422</v>
      </c>
      <c r="AV68" s="8">
        <f t="shared" si="30"/>
        <v>221257</v>
      </c>
      <c r="AW68" s="8">
        <f t="shared" si="30"/>
        <v>327026</v>
      </c>
      <c r="AX68" s="8">
        <f t="shared" si="30"/>
        <v>261713</v>
      </c>
      <c r="BA68" s="9"/>
      <c r="BB68" s="9"/>
      <c r="BC68" s="9"/>
      <c r="BD68" s="9"/>
      <c r="BE68" s="9"/>
      <c r="BF68" s="9"/>
      <c r="BG68" s="9"/>
      <c r="BH68" s="9"/>
      <c r="BI68" s="9"/>
      <c r="BJ68" s="9"/>
    </row>
    <row r="69" spans="2:62" x14ac:dyDescent="0.2">
      <c r="C69" s="4" t="s">
        <v>444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>
        <v>0</v>
      </c>
      <c r="Y69" s="8"/>
      <c r="Z69" s="8"/>
      <c r="AA69" s="8"/>
      <c r="AB69" s="8">
        <v>5562</v>
      </c>
      <c r="AC69" s="8">
        <v>5196</v>
      </c>
      <c r="AD69" s="8">
        <v>4589</v>
      </c>
      <c r="AE69" s="8">
        <v>4463</v>
      </c>
      <c r="AF69" s="8">
        <v>4142</v>
      </c>
      <c r="AG69" s="8">
        <v>5526</v>
      </c>
      <c r="AH69" s="8">
        <v>6496</v>
      </c>
      <c r="AI69" s="8">
        <v>7208</v>
      </c>
      <c r="AJ69" s="8">
        <v>7244</v>
      </c>
      <c r="AK69" s="8">
        <v>8018</v>
      </c>
      <c r="AL69" s="8">
        <v>7999</v>
      </c>
      <c r="AM69" s="8">
        <v>7746</v>
      </c>
      <c r="AN69" s="8">
        <v>7589</v>
      </c>
      <c r="AO69" s="8">
        <v>7813</v>
      </c>
      <c r="AP69" s="8">
        <v>7372</v>
      </c>
      <c r="AQ69" s="8">
        <v>8643</v>
      </c>
      <c r="AR69" s="8">
        <v>9344</v>
      </c>
      <c r="AS69" s="8">
        <v>11969</v>
      </c>
      <c r="AT69" s="8">
        <v>10098</v>
      </c>
      <c r="AU69" s="8">
        <v>11854</v>
      </c>
      <c r="AV69" s="8">
        <v>11551</v>
      </c>
      <c r="AW69" s="8">
        <v>12234</v>
      </c>
      <c r="AX69" s="8">
        <v>9699</v>
      </c>
      <c r="BA69" s="9"/>
      <c r="BB69" s="9"/>
      <c r="BC69" s="9"/>
      <c r="BD69" s="9"/>
      <c r="BE69" s="9"/>
      <c r="BF69" s="9"/>
      <c r="BG69" s="9"/>
      <c r="BH69" s="9"/>
      <c r="BI69" s="9"/>
      <c r="BJ69" s="9"/>
    </row>
    <row r="70" spans="2:62" s="13" customFormat="1" x14ac:dyDescent="0.2">
      <c r="C70" s="6" t="s">
        <v>83</v>
      </c>
      <c r="D70" s="17"/>
      <c r="E70" s="14">
        <v>29875.876</v>
      </c>
      <c r="F70" s="140">
        <f t="shared" ref="F70:O70" si="31">F37+F38+F39+F40+F41+F42</f>
        <v>38393.742999999995</v>
      </c>
      <c r="G70" s="140">
        <f t="shared" si="31"/>
        <v>39211.893000000004</v>
      </c>
      <c r="H70" s="140">
        <f t="shared" si="31"/>
        <v>49432.072</v>
      </c>
      <c r="I70" s="140">
        <f t="shared" si="31"/>
        <v>60156.688999999998</v>
      </c>
      <c r="J70" s="140">
        <f t="shared" si="31"/>
        <v>84317.105999999985</v>
      </c>
      <c r="K70" s="140">
        <f t="shared" si="31"/>
        <v>94210.082999999999</v>
      </c>
      <c r="L70" s="140">
        <f t="shared" si="31"/>
        <v>110739.62900000002</v>
      </c>
      <c r="M70" s="140">
        <f t="shared" si="31"/>
        <v>145420.30099999998</v>
      </c>
      <c r="N70" s="140">
        <f t="shared" si="31"/>
        <v>188772</v>
      </c>
      <c r="O70" s="140">
        <f t="shared" si="31"/>
        <v>266226.45000000007</v>
      </c>
      <c r="P70" s="17">
        <f t="shared" ref="P70:AX70" si="32">P37+SUM(P65:P67)+P39+P40+P41+P42+P69</f>
        <v>432543</v>
      </c>
      <c r="Q70" s="17">
        <f t="shared" si="32"/>
        <v>461381</v>
      </c>
      <c r="R70" s="17">
        <f t="shared" si="32"/>
        <v>487193</v>
      </c>
      <c r="S70" s="17">
        <f t="shared" si="32"/>
        <v>525771</v>
      </c>
      <c r="T70" s="17">
        <f t="shared" si="32"/>
        <v>588716</v>
      </c>
      <c r="U70" s="17">
        <f t="shared" si="32"/>
        <v>558278</v>
      </c>
      <c r="V70" s="17">
        <f t="shared" si="32"/>
        <v>762131</v>
      </c>
      <c r="W70" s="17">
        <f t="shared" si="32"/>
        <v>729174</v>
      </c>
      <c r="X70" s="17">
        <f t="shared" si="32"/>
        <v>828977</v>
      </c>
      <c r="Y70" s="17">
        <f t="shared" si="32"/>
        <v>808781</v>
      </c>
      <c r="Z70" s="17">
        <f t="shared" si="32"/>
        <v>825110</v>
      </c>
      <c r="AA70" s="17">
        <f t="shared" si="32"/>
        <v>844697</v>
      </c>
      <c r="AB70" s="17">
        <f t="shared" si="32"/>
        <v>969293</v>
      </c>
      <c r="AC70" s="17">
        <f t="shared" si="32"/>
        <v>1145709</v>
      </c>
      <c r="AD70" s="17">
        <f t="shared" si="32"/>
        <v>1305397</v>
      </c>
      <c r="AE70" s="17">
        <f t="shared" si="32"/>
        <v>1342222</v>
      </c>
      <c r="AF70" s="17">
        <f t="shared" si="32"/>
        <v>1248161</v>
      </c>
      <c r="AG70" s="17">
        <f t="shared" si="32"/>
        <v>1354671</v>
      </c>
      <c r="AH70" s="17">
        <f t="shared" si="32"/>
        <v>1568472</v>
      </c>
      <c r="AI70" s="17">
        <f t="shared" si="32"/>
        <v>1592660</v>
      </c>
      <c r="AJ70" s="17">
        <f t="shared" si="32"/>
        <v>1783515</v>
      </c>
      <c r="AK70" s="17">
        <f t="shared" si="32"/>
        <v>1620675</v>
      </c>
      <c r="AL70" s="17">
        <f t="shared" si="32"/>
        <v>1592411</v>
      </c>
      <c r="AM70" s="17">
        <f t="shared" si="32"/>
        <v>1712414</v>
      </c>
      <c r="AN70" s="17">
        <f t="shared" si="32"/>
        <v>1890486</v>
      </c>
      <c r="AO70" s="17">
        <f t="shared" si="32"/>
        <v>1947044</v>
      </c>
      <c r="AP70" s="17">
        <f t="shared" si="32"/>
        <v>2007439</v>
      </c>
      <c r="AQ70" s="17">
        <f t="shared" si="32"/>
        <v>2376946</v>
      </c>
      <c r="AR70" s="17">
        <f t="shared" si="32"/>
        <v>2737934</v>
      </c>
      <c r="AS70" s="17">
        <f t="shared" si="32"/>
        <v>3072522</v>
      </c>
      <c r="AT70" s="17">
        <f t="shared" si="32"/>
        <v>3234460</v>
      </c>
      <c r="AU70" s="17">
        <f t="shared" si="32"/>
        <v>3249444</v>
      </c>
      <c r="AV70" s="17">
        <f t="shared" si="32"/>
        <v>3473683</v>
      </c>
      <c r="AW70" s="17">
        <f t="shared" si="32"/>
        <v>3291150</v>
      </c>
      <c r="AX70" s="17">
        <f t="shared" si="32"/>
        <v>3325939</v>
      </c>
    </row>
    <row r="71" spans="2:62" s="9" customFormat="1" x14ac:dyDescent="0.2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2:62" s="147" customFormat="1" x14ac:dyDescent="0.2">
      <c r="C72" s="206" t="s">
        <v>248</v>
      </c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>
        <f t="shared" ref="P72:AX72" si="33">SUM(P15:P16)</f>
        <v>206807</v>
      </c>
      <c r="Q72" s="125">
        <f t="shared" si="33"/>
        <v>298236</v>
      </c>
      <c r="R72" s="125">
        <f t="shared" si="33"/>
        <v>285218</v>
      </c>
      <c r="S72" s="125">
        <f t="shared" si="33"/>
        <v>308322</v>
      </c>
      <c r="T72" s="125">
        <f t="shared" si="33"/>
        <v>349141</v>
      </c>
      <c r="U72" s="125">
        <f t="shared" si="33"/>
        <v>313864</v>
      </c>
      <c r="V72" s="125">
        <f t="shared" si="33"/>
        <v>346858</v>
      </c>
      <c r="W72" s="125">
        <f t="shared" si="33"/>
        <v>183395</v>
      </c>
      <c r="X72" s="125">
        <f t="shared" si="33"/>
        <v>225040</v>
      </c>
      <c r="Y72" s="125">
        <f t="shared" si="33"/>
        <v>216454</v>
      </c>
      <c r="Z72" s="125">
        <f t="shared" si="33"/>
        <v>218256</v>
      </c>
      <c r="AA72" s="125">
        <f t="shared" si="33"/>
        <v>226042</v>
      </c>
      <c r="AB72" s="125">
        <f t="shared" si="33"/>
        <v>249602</v>
      </c>
      <c r="AC72" s="125">
        <f t="shared" si="33"/>
        <v>299577</v>
      </c>
      <c r="AD72" s="125">
        <f t="shared" si="33"/>
        <v>503880</v>
      </c>
      <c r="AE72" s="125">
        <f t="shared" si="33"/>
        <v>479994</v>
      </c>
      <c r="AF72" s="125">
        <f t="shared" si="33"/>
        <v>364653</v>
      </c>
      <c r="AG72" s="125">
        <f t="shared" si="33"/>
        <v>368211</v>
      </c>
      <c r="AH72" s="125">
        <f t="shared" si="33"/>
        <v>348698</v>
      </c>
      <c r="AI72" s="125">
        <f t="shared" si="33"/>
        <v>338854</v>
      </c>
      <c r="AJ72" s="125">
        <f t="shared" si="33"/>
        <v>319117</v>
      </c>
      <c r="AK72" s="125">
        <f t="shared" si="33"/>
        <v>376087</v>
      </c>
      <c r="AL72" s="125">
        <f t="shared" si="33"/>
        <v>310703</v>
      </c>
      <c r="AM72" s="125">
        <f t="shared" si="33"/>
        <v>348342</v>
      </c>
      <c r="AN72" s="125">
        <f t="shared" si="33"/>
        <v>395315</v>
      </c>
      <c r="AO72" s="125">
        <f t="shared" si="33"/>
        <v>441390</v>
      </c>
      <c r="AP72" s="125">
        <f t="shared" si="33"/>
        <v>423817</v>
      </c>
      <c r="AQ72" s="125">
        <f t="shared" si="33"/>
        <v>439479</v>
      </c>
      <c r="AR72" s="125">
        <f t="shared" si="33"/>
        <v>470867</v>
      </c>
      <c r="AS72" s="125">
        <f t="shared" si="33"/>
        <v>487091</v>
      </c>
      <c r="AT72" s="125">
        <f t="shared" si="33"/>
        <v>471942</v>
      </c>
      <c r="AU72" s="125">
        <f t="shared" si="33"/>
        <v>488743</v>
      </c>
      <c r="AV72" s="125">
        <f t="shared" si="33"/>
        <v>542320</v>
      </c>
      <c r="AW72" s="125">
        <f t="shared" si="33"/>
        <v>502230</v>
      </c>
      <c r="AX72" s="125">
        <f t="shared" si="33"/>
        <v>489030</v>
      </c>
    </row>
    <row r="73" spans="2:62" s="147" customFormat="1" x14ac:dyDescent="0.2">
      <c r="C73" s="206" t="s">
        <v>272</v>
      </c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>
        <v>-8</v>
      </c>
      <c r="Q73" s="125">
        <v>-2</v>
      </c>
      <c r="R73" s="125">
        <v>-1</v>
      </c>
      <c r="S73" s="125">
        <v>-1</v>
      </c>
      <c r="T73" s="125">
        <v>-1</v>
      </c>
      <c r="U73" s="125">
        <v>-1</v>
      </c>
      <c r="V73" s="125">
        <v>0</v>
      </c>
      <c r="W73" s="125">
        <v>-123</v>
      </c>
      <c r="X73" s="125">
        <v>-154</v>
      </c>
      <c r="Y73" s="125">
        <v>-174</v>
      </c>
      <c r="Z73" s="125">
        <v>-135</v>
      </c>
      <c r="AA73" s="125">
        <v>-135</v>
      </c>
      <c r="AB73" s="125">
        <v>-167</v>
      </c>
      <c r="AC73" s="125">
        <v>-51.786731180000018</v>
      </c>
      <c r="AD73" s="125">
        <v>-121</v>
      </c>
      <c r="AE73" s="125">
        <v>-184</v>
      </c>
      <c r="AF73" s="125">
        <v>-146</v>
      </c>
      <c r="AG73" s="125">
        <v>-168</v>
      </c>
      <c r="AH73" s="125">
        <v>-266</v>
      </c>
      <c r="AI73" s="125">
        <v>-319</v>
      </c>
      <c r="AJ73" s="125">
        <v>-312</v>
      </c>
      <c r="AK73" s="125">
        <v>-261</v>
      </c>
      <c r="AL73" s="125">
        <v>-212</v>
      </c>
      <c r="AM73" s="125">
        <v>-171</v>
      </c>
      <c r="AN73" s="125">
        <v>-115</v>
      </c>
      <c r="AO73" s="125">
        <v>-80</v>
      </c>
      <c r="AP73" s="125">
        <v>-71</v>
      </c>
      <c r="AQ73" s="125">
        <v>-125</v>
      </c>
      <c r="AR73" s="125">
        <v>-52</v>
      </c>
      <c r="AS73" s="125">
        <v>-92</v>
      </c>
      <c r="AT73" s="125">
        <v>-74</v>
      </c>
      <c r="AU73" s="125">
        <v>-37</v>
      </c>
      <c r="AV73" s="125">
        <v>-24</v>
      </c>
      <c r="AW73" s="125">
        <v>-22</v>
      </c>
      <c r="AX73" s="125">
        <v>-8</v>
      </c>
    </row>
    <row r="74" spans="2:62" s="147" customFormat="1" x14ac:dyDescent="0.2">
      <c r="C74" s="206" t="s">
        <v>273</v>
      </c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>
        <f t="shared" ref="P74:AX74" si="34">SUM(P12:P13)-P73</f>
        <v>23749</v>
      </c>
      <c r="Q74" s="125">
        <f t="shared" si="34"/>
        <v>1173</v>
      </c>
      <c r="R74" s="125">
        <f t="shared" si="34"/>
        <v>385</v>
      </c>
      <c r="S74" s="125">
        <f t="shared" si="34"/>
        <v>1596</v>
      </c>
      <c r="T74" s="125">
        <f t="shared" si="34"/>
        <v>9339</v>
      </c>
      <c r="U74" s="125">
        <f t="shared" si="34"/>
        <v>6814</v>
      </c>
      <c r="V74" s="125">
        <f t="shared" si="34"/>
        <v>8300</v>
      </c>
      <c r="W74" s="125">
        <f t="shared" si="34"/>
        <v>37901</v>
      </c>
      <c r="X74" s="125">
        <f t="shared" si="34"/>
        <v>48689</v>
      </c>
      <c r="Y74" s="125">
        <f t="shared" si="34"/>
        <v>37333</v>
      </c>
      <c r="Z74" s="125">
        <f t="shared" si="34"/>
        <v>35124</v>
      </c>
      <c r="AA74" s="125">
        <f t="shared" si="34"/>
        <v>33497</v>
      </c>
      <c r="AB74" s="125">
        <f t="shared" si="34"/>
        <v>36028</v>
      </c>
      <c r="AC74" s="125">
        <f t="shared" si="34"/>
        <v>60919.78673118</v>
      </c>
      <c r="AD74" s="125">
        <f t="shared" si="34"/>
        <v>51801</v>
      </c>
      <c r="AE74" s="125">
        <f t="shared" si="34"/>
        <v>59506</v>
      </c>
      <c r="AF74" s="125">
        <f t="shared" si="34"/>
        <v>51261</v>
      </c>
      <c r="AG74" s="125">
        <f t="shared" si="34"/>
        <v>47936</v>
      </c>
      <c r="AH74" s="125">
        <f t="shared" si="34"/>
        <v>55001</v>
      </c>
      <c r="AI74" s="125">
        <f t="shared" si="34"/>
        <v>42236</v>
      </c>
      <c r="AJ74" s="125">
        <f t="shared" si="34"/>
        <v>43718</v>
      </c>
      <c r="AK74" s="125">
        <f t="shared" si="34"/>
        <v>37117</v>
      </c>
      <c r="AL74" s="125">
        <f t="shared" si="34"/>
        <v>29238</v>
      </c>
      <c r="AM74" s="125">
        <f t="shared" si="34"/>
        <v>23254</v>
      </c>
      <c r="AN74" s="125">
        <f t="shared" si="34"/>
        <v>20862</v>
      </c>
      <c r="AO74" s="125">
        <f t="shared" si="34"/>
        <v>20242</v>
      </c>
      <c r="AP74" s="125">
        <f t="shared" si="34"/>
        <v>19742</v>
      </c>
      <c r="AQ74" s="125">
        <f t="shared" si="34"/>
        <v>19442</v>
      </c>
      <c r="AR74" s="125">
        <f t="shared" si="34"/>
        <v>20767</v>
      </c>
      <c r="AS74" s="125">
        <f t="shared" si="34"/>
        <v>21952</v>
      </c>
      <c r="AT74" s="125">
        <f t="shared" si="34"/>
        <v>22010</v>
      </c>
      <c r="AU74" s="125">
        <f t="shared" si="34"/>
        <v>16528</v>
      </c>
      <c r="AV74" s="125">
        <f t="shared" si="34"/>
        <v>21736</v>
      </c>
      <c r="AW74" s="125">
        <f t="shared" si="34"/>
        <v>16030</v>
      </c>
      <c r="AX74" s="125">
        <f t="shared" si="34"/>
        <v>4646</v>
      </c>
    </row>
    <row r="75" spans="2:62" s="147" customFormat="1" x14ac:dyDescent="0.2">
      <c r="C75" s="206" t="s">
        <v>391</v>
      </c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>
        <v>30004.716</v>
      </c>
      <c r="Y75" s="125"/>
      <c r="Z75" s="125"/>
      <c r="AA75" s="125"/>
      <c r="AB75" s="125">
        <v>18749</v>
      </c>
      <c r="AC75" s="125"/>
      <c r="AD75" s="125">
        <v>17058.373</v>
      </c>
      <c r="AE75" s="125"/>
      <c r="AF75" s="125">
        <v>10775.906615779753</v>
      </c>
      <c r="AG75" s="125">
        <v>10484.094999999999</v>
      </c>
      <c r="AH75" s="125">
        <v>10187.79393226</v>
      </c>
      <c r="AI75" s="125">
        <v>3771.7344110200002</v>
      </c>
      <c r="AJ75" s="125">
        <v>786.72414226000012</v>
      </c>
      <c r="AK75" s="125">
        <f>AK313</f>
        <v>875.81899999999996</v>
      </c>
      <c r="AL75" s="125">
        <v>542</v>
      </c>
      <c r="AM75" s="125">
        <v>601</v>
      </c>
      <c r="AN75" s="125">
        <f>AN313</f>
        <v>749</v>
      </c>
      <c r="AO75" s="125">
        <f>AO313</f>
        <v>0</v>
      </c>
      <c r="AP75" s="125">
        <f>AP313</f>
        <v>0</v>
      </c>
      <c r="AQ75" s="125">
        <f>AQ313</f>
        <v>883</v>
      </c>
      <c r="AR75" s="125">
        <f>AR313</f>
        <v>0</v>
      </c>
      <c r="AS75" s="125">
        <v>0</v>
      </c>
      <c r="AT75" s="125">
        <v>0</v>
      </c>
      <c r="AU75" s="125">
        <v>0</v>
      </c>
      <c r="AV75" s="125">
        <v>0</v>
      </c>
      <c r="AW75" s="125">
        <v>0</v>
      </c>
      <c r="AX75" s="125">
        <v>0</v>
      </c>
      <c r="AY75" s="304"/>
    </row>
    <row r="76" spans="2:62" s="9" customFormat="1" x14ac:dyDescent="0.2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2:62" s="5" customFormat="1" x14ac:dyDescent="0.2">
      <c r="B77" s="42">
        <v>2</v>
      </c>
      <c r="C77" s="41" t="s">
        <v>8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2"/>
      <c r="BB77" s="42"/>
      <c r="BC77" s="42"/>
      <c r="BD77" s="42"/>
      <c r="BE77" s="42"/>
      <c r="BF77" s="42"/>
      <c r="BG77" s="42"/>
      <c r="BH77" s="42"/>
      <c r="BI77" s="42"/>
      <c r="BJ77" s="42"/>
    </row>
    <row r="78" spans="2:62" x14ac:dyDescent="0.2">
      <c r="O78" s="9"/>
      <c r="Q78" s="9"/>
      <c r="BA78" s="9"/>
      <c r="BB78" s="9"/>
      <c r="BC78" s="9"/>
      <c r="BD78" s="9"/>
      <c r="BE78" s="9"/>
      <c r="BF78" s="9"/>
      <c r="BG78" s="9"/>
      <c r="BH78" s="9"/>
      <c r="BI78" s="9"/>
      <c r="BJ78" s="9"/>
    </row>
    <row r="79" spans="2:62" x14ac:dyDescent="0.2">
      <c r="C79" s="164" t="s">
        <v>32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8"/>
      <c r="P79" s="7">
        <v>20780</v>
      </c>
      <c r="Q79" s="8">
        <v>9503</v>
      </c>
      <c r="R79" s="7">
        <v>19792</v>
      </c>
      <c r="T79" s="7">
        <v>26630</v>
      </c>
      <c r="U79" s="7"/>
      <c r="V79" s="7">
        <v>16021</v>
      </c>
      <c r="W79" s="7">
        <v>24988</v>
      </c>
      <c r="X79" s="8">
        <v>34698</v>
      </c>
      <c r="Y79" s="7">
        <v>9864</v>
      </c>
      <c r="Z79" s="7">
        <v>20436</v>
      </c>
      <c r="AA79" s="7">
        <v>31774</v>
      </c>
      <c r="AB79" s="8">
        <v>42928</v>
      </c>
      <c r="AC79" s="7">
        <v>13998</v>
      </c>
      <c r="AD79" s="7">
        <v>28104</v>
      </c>
      <c r="AE79" s="7">
        <v>43728</v>
      </c>
      <c r="AF79" s="7">
        <v>59230</v>
      </c>
      <c r="AG79" s="7">
        <v>16585</v>
      </c>
      <c r="AH79" s="7">
        <v>40133</v>
      </c>
      <c r="AI79" s="8">
        <v>64423</v>
      </c>
      <c r="AJ79" s="8">
        <v>87597</v>
      </c>
      <c r="AK79" s="8">
        <v>24117</v>
      </c>
      <c r="AL79" s="8">
        <v>51219</v>
      </c>
      <c r="AM79" s="8">
        <v>81434</v>
      </c>
      <c r="AN79" s="8">
        <v>110678</v>
      </c>
      <c r="AO79" s="8">
        <v>29381</v>
      </c>
      <c r="AP79" s="8">
        <v>60543</v>
      </c>
      <c r="AQ79" s="8">
        <v>93380</v>
      </c>
      <c r="AR79" s="8">
        <v>129479</v>
      </c>
      <c r="AS79" s="8">
        <v>42434</v>
      </c>
      <c r="AT79" s="8">
        <v>99723</v>
      </c>
      <c r="AU79" s="8">
        <v>163707</v>
      </c>
      <c r="AV79" s="8">
        <v>239777</v>
      </c>
      <c r="AW79" s="8">
        <v>74627</v>
      </c>
      <c r="AX79" s="8">
        <v>149644</v>
      </c>
      <c r="BA79" s="9"/>
      <c r="BB79" s="9"/>
      <c r="BC79" s="9"/>
      <c r="BD79" s="9"/>
      <c r="BE79" s="9"/>
      <c r="BF79" s="9"/>
      <c r="BG79" s="9"/>
      <c r="BH79" s="9"/>
      <c r="BI79" s="9"/>
      <c r="BJ79" s="9"/>
    </row>
    <row r="80" spans="2:62" x14ac:dyDescent="0.2">
      <c r="C80" s="164" t="s">
        <v>256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8"/>
      <c r="P80" s="7">
        <v>7191</v>
      </c>
      <c r="Q80" s="8">
        <v>2874</v>
      </c>
      <c r="R80" s="7">
        <v>14937</v>
      </c>
      <c r="T80" s="7">
        <v>15532</v>
      </c>
      <c r="U80" s="7"/>
      <c r="V80" s="7">
        <v>8419</v>
      </c>
      <c r="W80" s="7">
        <v>16665</v>
      </c>
      <c r="X80" s="8">
        <v>24203</v>
      </c>
      <c r="Y80" s="7">
        <v>7569</v>
      </c>
      <c r="Z80" s="7">
        <v>14710</v>
      </c>
      <c r="AA80" s="7">
        <v>22365</v>
      </c>
      <c r="AB80" s="8">
        <v>29354</v>
      </c>
      <c r="AC80" s="7">
        <v>7816</v>
      </c>
      <c r="AD80" s="7">
        <v>15012</v>
      </c>
      <c r="AE80" s="7">
        <v>22950</v>
      </c>
      <c r="AF80" s="7">
        <v>30735</v>
      </c>
      <c r="AG80" s="7">
        <v>9329</v>
      </c>
      <c r="AH80" s="7">
        <v>17372</v>
      </c>
      <c r="AI80" s="8">
        <v>30561</v>
      </c>
      <c r="AJ80" s="8">
        <v>48121</v>
      </c>
      <c r="AK80" s="8">
        <v>20209</v>
      </c>
      <c r="AL80" s="8">
        <v>43533</v>
      </c>
      <c r="AM80" s="8">
        <v>64405</v>
      </c>
      <c r="AN80" s="8">
        <v>88155</v>
      </c>
      <c r="AO80" s="8">
        <v>21945</v>
      </c>
      <c r="AP80" s="8">
        <v>44631</v>
      </c>
      <c r="AQ80" s="8">
        <v>73183</v>
      </c>
      <c r="AR80" s="8">
        <v>113678</v>
      </c>
      <c r="AS80" s="8">
        <v>45543</v>
      </c>
      <c r="AT80" s="8">
        <v>94161</v>
      </c>
      <c r="AU80" s="8">
        <v>150876</v>
      </c>
      <c r="AV80" s="8">
        <v>216482</v>
      </c>
      <c r="AW80" s="8">
        <v>69253</v>
      </c>
      <c r="AX80" s="8">
        <v>139649</v>
      </c>
      <c r="BA80" s="9"/>
      <c r="BB80" s="9"/>
      <c r="BC80" s="9"/>
      <c r="BD80" s="9"/>
      <c r="BE80" s="9"/>
      <c r="BF80" s="9"/>
      <c r="BG80" s="9"/>
      <c r="BH80" s="9"/>
      <c r="BI80" s="9"/>
      <c r="BJ80" s="9"/>
    </row>
    <row r="81" spans="2:62" x14ac:dyDescent="0.2">
      <c r="C81" s="164" t="s">
        <v>84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8"/>
      <c r="P81" s="7">
        <v>10734</v>
      </c>
      <c r="Q81" s="8">
        <v>12005</v>
      </c>
      <c r="R81" s="7">
        <v>22616</v>
      </c>
      <c r="T81" s="7">
        <v>22883</v>
      </c>
      <c r="U81" s="7"/>
      <c r="V81" s="7">
        <v>13313</v>
      </c>
      <c r="W81" s="7">
        <v>17510</v>
      </c>
      <c r="X81" s="8">
        <v>22182</v>
      </c>
      <c r="Y81" s="7">
        <v>4626</v>
      </c>
      <c r="Z81" s="7">
        <v>9272</v>
      </c>
      <c r="AA81" s="7">
        <v>13433</v>
      </c>
      <c r="AB81" s="8">
        <v>17572</v>
      </c>
      <c r="AC81" s="7">
        <v>4442</v>
      </c>
      <c r="AD81" s="7">
        <v>11028</v>
      </c>
      <c r="AE81" s="7">
        <v>19384</v>
      </c>
      <c r="AF81" s="7">
        <v>26639</v>
      </c>
      <c r="AG81" s="7">
        <v>6105</v>
      </c>
      <c r="AH81" s="7">
        <v>12211</v>
      </c>
      <c r="AI81" s="8">
        <v>18070</v>
      </c>
      <c r="AJ81" s="8">
        <v>23772</v>
      </c>
      <c r="AK81" s="8">
        <v>6299</v>
      </c>
      <c r="AL81" s="8">
        <v>11953</v>
      </c>
      <c r="AM81" s="8">
        <v>17398</v>
      </c>
      <c r="AN81" s="8">
        <v>23645</v>
      </c>
      <c r="AO81" s="8">
        <v>7215</v>
      </c>
      <c r="AP81" s="8">
        <v>14701</v>
      </c>
      <c r="AQ81" s="8">
        <v>22536</v>
      </c>
      <c r="AR81" s="8">
        <v>31988</v>
      </c>
      <c r="AS81" s="8">
        <v>10836</v>
      </c>
      <c r="AT81" s="8">
        <v>22396</v>
      </c>
      <c r="AU81" s="8">
        <v>34329</v>
      </c>
      <c r="AV81" s="8">
        <v>49643</v>
      </c>
      <c r="AW81" s="8">
        <v>17033</v>
      </c>
      <c r="AX81" s="8">
        <v>34172</v>
      </c>
      <c r="BA81" s="9"/>
      <c r="BB81" s="9"/>
      <c r="BC81" s="9"/>
      <c r="BD81" s="9"/>
      <c r="BE81" s="9"/>
      <c r="BF81" s="9"/>
      <c r="BG81" s="9"/>
      <c r="BH81" s="9"/>
      <c r="BI81" s="9"/>
      <c r="BJ81" s="9"/>
    </row>
    <row r="82" spans="2:62" x14ac:dyDescent="0.2">
      <c r="C82" s="164" t="s">
        <v>295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8"/>
      <c r="P82" s="7"/>
      <c r="Q82" s="8"/>
      <c r="R82" s="7"/>
      <c r="T82" s="7">
        <v>0</v>
      </c>
      <c r="U82" s="7"/>
      <c r="V82" s="7">
        <v>915</v>
      </c>
      <c r="W82" s="7">
        <v>1481</v>
      </c>
      <c r="X82" s="8">
        <v>1481</v>
      </c>
      <c r="Y82" s="7">
        <v>0</v>
      </c>
      <c r="Z82" s="7">
        <v>0</v>
      </c>
      <c r="AA82" s="7">
        <v>0</v>
      </c>
      <c r="AB82" s="8">
        <v>597</v>
      </c>
      <c r="AC82" s="7">
        <v>476</v>
      </c>
      <c r="AD82" s="7">
        <v>4607</v>
      </c>
      <c r="AE82" s="7">
        <v>6509</v>
      </c>
      <c r="AF82" s="7">
        <v>7333</v>
      </c>
      <c r="AG82" s="7">
        <v>1030</v>
      </c>
      <c r="AH82" s="7">
        <v>5616</v>
      </c>
      <c r="AI82" s="8">
        <v>8455</v>
      </c>
      <c r="AJ82" s="8">
        <v>11846</v>
      </c>
      <c r="AK82" s="8">
        <v>2510</v>
      </c>
      <c r="AL82" s="8">
        <v>4648</v>
      </c>
      <c r="AM82" s="8">
        <v>7698</v>
      </c>
      <c r="AN82" s="8">
        <v>10247</v>
      </c>
      <c r="AO82" s="8">
        <v>2174</v>
      </c>
      <c r="AP82" s="8">
        <v>3923</v>
      </c>
      <c r="AQ82" s="8">
        <v>5865</v>
      </c>
      <c r="AR82" s="8">
        <v>7833</v>
      </c>
      <c r="AS82" s="8">
        <v>1973</v>
      </c>
      <c r="AT82" s="8">
        <v>3755</v>
      </c>
      <c r="AU82" s="8">
        <v>5648</v>
      </c>
      <c r="AV82" s="8">
        <v>7798</v>
      </c>
      <c r="AW82" s="8">
        <v>1293</v>
      </c>
      <c r="AX82" s="8">
        <v>2781</v>
      </c>
      <c r="BA82" s="9"/>
      <c r="BB82" s="9"/>
      <c r="BC82" s="9"/>
      <c r="BD82" s="9"/>
      <c r="BE82" s="9"/>
      <c r="BF82" s="9"/>
      <c r="BG82" s="9"/>
      <c r="BH82" s="9"/>
      <c r="BI82" s="9"/>
      <c r="BJ82" s="9"/>
    </row>
    <row r="83" spans="2:62" x14ac:dyDescent="0.2">
      <c r="C83" s="164" t="s">
        <v>162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8"/>
      <c r="P83" s="7">
        <v>6325</v>
      </c>
      <c r="Q83" s="8">
        <f>3676+3551</f>
        <v>7227</v>
      </c>
      <c r="R83" s="7">
        <v>6132</v>
      </c>
      <c r="T83" s="7">
        <v>212</v>
      </c>
      <c r="U83" s="7"/>
      <c r="V83" s="7">
        <v>397</v>
      </c>
      <c r="W83" s="7">
        <v>1287</v>
      </c>
      <c r="X83" s="8">
        <v>1916</v>
      </c>
      <c r="Y83" s="7">
        <v>780</v>
      </c>
      <c r="Z83" s="7">
        <v>1373</v>
      </c>
      <c r="AA83" s="7">
        <v>2501</v>
      </c>
      <c r="AB83" s="8">
        <v>4127</v>
      </c>
      <c r="AC83" s="7">
        <v>1942</v>
      </c>
      <c r="AD83" s="7">
        <v>1299</v>
      </c>
      <c r="AE83" s="7">
        <v>1831</v>
      </c>
      <c r="AF83" s="7">
        <v>2320</v>
      </c>
      <c r="AG83" s="7">
        <v>901</v>
      </c>
      <c r="AH83" s="7">
        <v>2615</v>
      </c>
      <c r="AI83" s="8">
        <v>3329</v>
      </c>
      <c r="AJ83" s="8">
        <v>6023</v>
      </c>
      <c r="AK83" s="8">
        <v>2516</v>
      </c>
      <c r="AL83" s="8">
        <v>3106</v>
      </c>
      <c r="AM83" s="8">
        <v>3764</v>
      </c>
      <c r="AN83" s="8">
        <v>4399</v>
      </c>
      <c r="AO83" s="8">
        <v>1178</v>
      </c>
      <c r="AP83" s="8">
        <v>2619</v>
      </c>
      <c r="AQ83" s="8">
        <v>7800</v>
      </c>
      <c r="AR83" s="8">
        <v>18993</v>
      </c>
      <c r="AS83" s="8">
        <v>16543</v>
      </c>
      <c r="AT83" s="8">
        <v>33678</v>
      </c>
      <c r="AU83" s="8">
        <v>51608</v>
      </c>
      <c r="AV83" s="8">
        <v>65386</v>
      </c>
      <c r="AW83" s="8">
        <v>12680</v>
      </c>
      <c r="AX83" s="8">
        <v>25341</v>
      </c>
      <c r="BA83" s="9"/>
      <c r="BB83" s="9"/>
      <c r="BC83" s="9"/>
      <c r="BD83" s="9"/>
      <c r="BE83" s="9"/>
      <c r="BF83" s="9"/>
      <c r="BG83" s="9"/>
      <c r="BH83" s="9"/>
      <c r="BI83" s="9"/>
      <c r="BJ83" s="9"/>
    </row>
    <row r="84" spans="2:62" x14ac:dyDescent="0.2">
      <c r="C84" s="164" t="s">
        <v>164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8"/>
      <c r="P84" s="7"/>
      <c r="Q84" s="8"/>
      <c r="R84" s="7"/>
      <c r="T84" s="7">
        <v>3466</v>
      </c>
      <c r="U84" s="7"/>
      <c r="V84" s="7">
        <v>1073</v>
      </c>
      <c r="W84" s="7">
        <v>1948</v>
      </c>
      <c r="X84" s="8">
        <v>2943</v>
      </c>
      <c r="Y84" s="7">
        <v>1378</v>
      </c>
      <c r="Z84" s="7">
        <v>3504</v>
      </c>
      <c r="AA84" s="7">
        <v>5843</v>
      </c>
      <c r="AB84" s="7">
        <v>7368</v>
      </c>
      <c r="AC84" s="7">
        <v>1960</v>
      </c>
      <c r="AD84" s="7">
        <v>3275</v>
      </c>
      <c r="AE84" s="7">
        <v>3929</v>
      </c>
      <c r="AF84" s="7">
        <v>5176</v>
      </c>
      <c r="AG84" s="7">
        <v>843</v>
      </c>
      <c r="AH84" s="7">
        <v>2187</v>
      </c>
      <c r="AI84" s="8">
        <v>3175</v>
      </c>
      <c r="AJ84" s="8">
        <v>3305</v>
      </c>
      <c r="AK84" s="8">
        <v>1404</v>
      </c>
      <c r="AL84" s="8">
        <v>4574</v>
      </c>
      <c r="AM84" s="8">
        <v>4548</v>
      </c>
      <c r="AN84" s="8">
        <v>4355</v>
      </c>
      <c r="AO84" s="8">
        <v>0</v>
      </c>
      <c r="AP84" s="8">
        <v>372</v>
      </c>
      <c r="AQ84" s="8">
        <v>2526</v>
      </c>
      <c r="AR84" s="8">
        <v>4813</v>
      </c>
      <c r="AS84" s="8">
        <v>2928</v>
      </c>
      <c r="AT84" s="8">
        <v>6869</v>
      </c>
      <c r="AU84" s="8">
        <v>7319</v>
      </c>
      <c r="AV84" s="8">
        <v>7473</v>
      </c>
      <c r="AW84" s="8">
        <v>511</v>
      </c>
      <c r="AX84" s="8">
        <v>1517</v>
      </c>
      <c r="BA84" s="9"/>
      <c r="BB84" s="9"/>
      <c r="BC84" s="9"/>
      <c r="BD84" s="9"/>
      <c r="BE84" s="9"/>
      <c r="BF84" s="9"/>
      <c r="BG84" s="9"/>
      <c r="BH84" s="9"/>
      <c r="BI84" s="9"/>
      <c r="BJ84" s="9"/>
    </row>
    <row r="85" spans="2:62" hidden="1" x14ac:dyDescent="0.2">
      <c r="C85" s="164" t="s">
        <v>167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8"/>
      <c r="P85" s="7"/>
      <c r="Q85" s="8"/>
      <c r="R85" s="7"/>
      <c r="T85" s="7"/>
      <c r="U85" s="7"/>
      <c r="V85" s="7">
        <v>998</v>
      </c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BA85" s="9"/>
      <c r="BB85" s="9"/>
      <c r="BC85" s="9"/>
      <c r="BD85" s="9"/>
      <c r="BE85" s="9"/>
      <c r="BF85" s="9"/>
      <c r="BG85" s="9"/>
      <c r="BH85" s="9"/>
      <c r="BI85" s="9"/>
      <c r="BJ85" s="9"/>
    </row>
    <row r="86" spans="2:62" x14ac:dyDescent="0.2">
      <c r="C86" s="164" t="s">
        <v>293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8"/>
      <c r="P86" s="7"/>
      <c r="Q86" s="8"/>
      <c r="R86" s="7"/>
      <c r="T86" s="7"/>
      <c r="U86" s="7"/>
      <c r="V86" s="7"/>
      <c r="W86" s="7"/>
      <c r="X86" s="7"/>
      <c r="Y86" s="7"/>
      <c r="Z86" s="7"/>
      <c r="AA86" s="7"/>
      <c r="AB86" s="7">
        <v>174</v>
      </c>
      <c r="AC86" s="7">
        <v>408</v>
      </c>
      <c r="AD86" s="7">
        <v>804</v>
      </c>
      <c r="AE86" s="7">
        <v>1235</v>
      </c>
      <c r="AF86" s="7">
        <v>1685</v>
      </c>
      <c r="AG86" s="7">
        <v>503</v>
      </c>
      <c r="AH86" s="7">
        <v>1019</v>
      </c>
      <c r="AI86" s="7">
        <v>1664</v>
      </c>
      <c r="AJ86" s="7">
        <v>2430</v>
      </c>
      <c r="AK86" s="7">
        <v>951</v>
      </c>
      <c r="AL86" s="7">
        <v>2041</v>
      </c>
      <c r="AM86" s="7">
        <v>3245</v>
      </c>
      <c r="AN86" s="7">
        <v>4596</v>
      </c>
      <c r="AO86" s="7">
        <v>1437</v>
      </c>
      <c r="AP86" s="7">
        <v>3109</v>
      </c>
      <c r="AQ86" s="7">
        <v>5215</v>
      </c>
      <c r="AR86" s="7">
        <v>7928</v>
      </c>
      <c r="AS86" s="7">
        <v>3012</v>
      </c>
      <c r="AT86" s="7">
        <v>6529</v>
      </c>
      <c r="AU86" s="7">
        <v>10531</v>
      </c>
      <c r="AV86" s="7">
        <v>15923</v>
      </c>
      <c r="AW86" s="7">
        <v>8387</v>
      </c>
      <c r="AX86" s="7">
        <v>16080</v>
      </c>
      <c r="AY86" s="19"/>
      <c r="BA86" s="9"/>
      <c r="BB86" s="9"/>
      <c r="BC86" s="9"/>
      <c r="BD86" s="9"/>
      <c r="BE86" s="9"/>
      <c r="BF86" s="9"/>
      <c r="BG86" s="9"/>
      <c r="BH86" s="9"/>
      <c r="BI86" s="9"/>
      <c r="BJ86" s="9"/>
    </row>
    <row r="87" spans="2:62" s="6" customFormat="1" x14ac:dyDescent="0.2">
      <c r="B87" s="13"/>
      <c r="C87" s="13" t="s">
        <v>9</v>
      </c>
      <c r="D87" s="17">
        <v>6211</v>
      </c>
      <c r="E87" s="17"/>
      <c r="F87" s="17">
        <v>8007.835</v>
      </c>
      <c r="G87" s="17"/>
      <c r="H87" s="17">
        <v>9324.4709999999995</v>
      </c>
      <c r="I87" s="17"/>
      <c r="J87" s="17">
        <v>12723.708000000001</v>
      </c>
      <c r="K87" s="17"/>
      <c r="L87" s="17">
        <v>18530.685000000001</v>
      </c>
      <c r="M87" s="17"/>
      <c r="N87" s="17">
        <v>29962</v>
      </c>
      <c r="O87" s="17"/>
      <c r="P87" s="17">
        <f>SUM(P79:P83)</f>
        <v>45030</v>
      </c>
      <c r="Q87" s="17">
        <f>SUM(Q79:Q83)</f>
        <v>31609</v>
      </c>
      <c r="R87" s="17">
        <f>SUM(R79:R83)</f>
        <v>63477</v>
      </c>
      <c r="T87" s="17">
        <f>SUM(T79:T84)</f>
        <v>68723</v>
      </c>
      <c r="U87" s="17"/>
      <c r="V87" s="17">
        <f>SUM(V79:V85)</f>
        <v>41136</v>
      </c>
      <c r="W87" s="17">
        <f>SUM(W79:W85)</f>
        <v>63879</v>
      </c>
      <c r="X87" s="17">
        <f>SUM(X79:X84)</f>
        <v>87423</v>
      </c>
      <c r="Y87" s="17">
        <f>SUM(Y79:Y84)</f>
        <v>24217</v>
      </c>
      <c r="Z87" s="17">
        <f>SUM(Z79:Z84)</f>
        <v>49295</v>
      </c>
      <c r="AA87" s="17">
        <f>SUM(AA79:AA84)</f>
        <v>75916</v>
      </c>
      <c r="AB87" s="17">
        <f t="shared" ref="AB87:AX87" si="35">SUM(AB79:AB86)</f>
        <v>102120</v>
      </c>
      <c r="AC87" s="17">
        <f t="shared" si="35"/>
        <v>31042</v>
      </c>
      <c r="AD87" s="17">
        <f t="shared" si="35"/>
        <v>64129</v>
      </c>
      <c r="AE87" s="17">
        <f t="shared" si="35"/>
        <v>99566</v>
      </c>
      <c r="AF87" s="17">
        <f t="shared" si="35"/>
        <v>133118</v>
      </c>
      <c r="AG87" s="17">
        <f t="shared" si="35"/>
        <v>35296</v>
      </c>
      <c r="AH87" s="17">
        <f t="shared" si="35"/>
        <v>81153</v>
      </c>
      <c r="AI87" s="17">
        <f t="shared" si="35"/>
        <v>129677</v>
      </c>
      <c r="AJ87" s="17">
        <f t="shared" si="35"/>
        <v>183094</v>
      </c>
      <c r="AK87" s="17">
        <f t="shared" si="35"/>
        <v>58006</v>
      </c>
      <c r="AL87" s="17">
        <f t="shared" si="35"/>
        <v>121074</v>
      </c>
      <c r="AM87" s="17">
        <f t="shared" si="35"/>
        <v>182492</v>
      </c>
      <c r="AN87" s="17">
        <f t="shared" si="35"/>
        <v>246075</v>
      </c>
      <c r="AO87" s="17">
        <f t="shared" si="35"/>
        <v>63330</v>
      </c>
      <c r="AP87" s="17">
        <f t="shared" si="35"/>
        <v>129898</v>
      </c>
      <c r="AQ87" s="17">
        <f t="shared" si="35"/>
        <v>210505</v>
      </c>
      <c r="AR87" s="17">
        <f t="shared" si="35"/>
        <v>314712</v>
      </c>
      <c r="AS87" s="17">
        <f t="shared" si="35"/>
        <v>123269</v>
      </c>
      <c r="AT87" s="17">
        <f t="shared" si="35"/>
        <v>267111</v>
      </c>
      <c r="AU87" s="17">
        <f t="shared" si="35"/>
        <v>424018</v>
      </c>
      <c r="AV87" s="17">
        <f t="shared" si="35"/>
        <v>602482</v>
      </c>
      <c r="AW87" s="17">
        <f t="shared" si="35"/>
        <v>183784</v>
      </c>
      <c r="AX87" s="17">
        <f t="shared" si="35"/>
        <v>369184</v>
      </c>
      <c r="AY87" s="20"/>
      <c r="BA87" s="13"/>
      <c r="BB87" s="13"/>
      <c r="BC87" s="13"/>
      <c r="BD87" s="13"/>
      <c r="BE87" s="13"/>
      <c r="BF87" s="13"/>
      <c r="BG87" s="13"/>
      <c r="BH87" s="13"/>
      <c r="BI87" s="13"/>
      <c r="BJ87" s="13"/>
    </row>
    <row r="88" spans="2:62" x14ac:dyDescent="0.2"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BA88" s="9"/>
      <c r="BB88" s="9"/>
      <c r="BC88" s="9"/>
      <c r="BD88" s="9"/>
      <c r="BE88" s="9"/>
      <c r="BF88" s="9"/>
      <c r="BG88" s="9"/>
      <c r="BH88" s="9"/>
      <c r="BI88" s="9"/>
      <c r="BJ88" s="9"/>
    </row>
    <row r="89" spans="2:62" ht="11.25" customHeight="1" x14ac:dyDescent="0.2">
      <c r="C89" s="164" t="s">
        <v>85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8"/>
      <c r="P89" s="7">
        <v>-13563</v>
      </c>
      <c r="Q89" s="8">
        <v>-10969</v>
      </c>
      <c r="R89" s="7">
        <v>-21984</v>
      </c>
      <c r="T89" s="22">
        <v>-23952</v>
      </c>
      <c r="U89" s="22"/>
      <c r="V89" s="22">
        <v>-14174</v>
      </c>
      <c r="W89" s="22">
        <v>-21582</v>
      </c>
      <c r="X89" s="22">
        <v>-28866</v>
      </c>
      <c r="Y89" s="22">
        <v>-8390</v>
      </c>
      <c r="Z89" s="22">
        <v>-18009</v>
      </c>
      <c r="AA89" s="22">
        <v>-28112</v>
      </c>
      <c r="AB89" s="22">
        <v>-36287</v>
      </c>
      <c r="AC89" s="22">
        <v>-9676</v>
      </c>
      <c r="AD89" s="22">
        <v>-18900</v>
      </c>
      <c r="AE89" s="22">
        <v>-27451</v>
      </c>
      <c r="AF89" s="22">
        <v>-35478</v>
      </c>
      <c r="AG89" s="22">
        <v>-9070</v>
      </c>
      <c r="AH89" s="22">
        <v>-21164</v>
      </c>
      <c r="AI89" s="22">
        <v>-34302</v>
      </c>
      <c r="AJ89" s="22">
        <v>-49682</v>
      </c>
      <c r="AK89" s="22">
        <v>-23073</v>
      </c>
      <c r="AL89" s="22">
        <v>-68308</v>
      </c>
      <c r="AM89" s="22">
        <v>-94378</v>
      </c>
      <c r="AN89" s="22">
        <v>-119468</v>
      </c>
      <c r="AO89" s="22">
        <v>-26706</v>
      </c>
      <c r="AP89" s="22">
        <v>-54927</v>
      </c>
      <c r="AQ89" s="22">
        <v>-92776</v>
      </c>
      <c r="AR89" s="22">
        <v>-154581</v>
      </c>
      <c r="AS89" s="22">
        <v>-77912</v>
      </c>
      <c r="AT89" s="22">
        <v>-166429</v>
      </c>
      <c r="AU89" s="22">
        <v>-270086</v>
      </c>
      <c r="AV89" s="22">
        <v>-388964</v>
      </c>
      <c r="AW89" s="22">
        <v>-124747</v>
      </c>
      <c r="AX89" s="22">
        <v>-249120</v>
      </c>
      <c r="BA89" s="9"/>
      <c r="BB89" s="9"/>
      <c r="BC89" s="9"/>
      <c r="BD89" s="9"/>
      <c r="BE89" s="9"/>
      <c r="BF89" s="9"/>
      <c r="BG89" s="9"/>
      <c r="BH89" s="9"/>
      <c r="BI89" s="9"/>
      <c r="BJ89" s="9"/>
    </row>
    <row r="90" spans="2:62" ht="11.25" customHeight="1" x14ac:dyDescent="0.2">
      <c r="C90" s="164" t="s">
        <v>86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8"/>
      <c r="P90" s="7">
        <v>-11401</v>
      </c>
      <c r="Q90" s="8">
        <v>-6693</v>
      </c>
      <c r="R90" s="7">
        <v>-9377</v>
      </c>
      <c r="T90" s="22">
        <v>-7116</v>
      </c>
      <c r="U90" s="22"/>
      <c r="V90" s="22">
        <v>-2346</v>
      </c>
      <c r="W90" s="22">
        <v>-3284</v>
      </c>
      <c r="X90" s="22">
        <v>-4264</v>
      </c>
      <c r="Y90" s="22">
        <v>-944</v>
      </c>
      <c r="Z90" s="22">
        <v>-1531</v>
      </c>
      <c r="AA90" s="22">
        <v>-1954</v>
      </c>
      <c r="AB90" s="22">
        <v>-2631</v>
      </c>
      <c r="AC90" s="22">
        <v>-942</v>
      </c>
      <c r="AD90" s="22">
        <v>-3345</v>
      </c>
      <c r="AE90" s="22">
        <v>-5778</v>
      </c>
      <c r="AF90" s="22">
        <v>-7787</v>
      </c>
      <c r="AG90" s="22">
        <v>-1295</v>
      </c>
      <c r="AH90" s="22">
        <v>-2384</v>
      </c>
      <c r="AI90" s="22">
        <v>-3453</v>
      </c>
      <c r="AJ90" s="22">
        <v>-4903</v>
      </c>
      <c r="AK90" s="22">
        <v>-3798</v>
      </c>
      <c r="AL90" s="22">
        <v>-5045</v>
      </c>
      <c r="AM90" s="22">
        <v>-7631</v>
      </c>
      <c r="AN90" s="22">
        <v>-9376</v>
      </c>
      <c r="AO90" s="22">
        <v>-1101</v>
      </c>
      <c r="AP90" s="22">
        <v>-1916</v>
      </c>
      <c r="AQ90" s="22">
        <v>-4132</v>
      </c>
      <c r="AR90" s="22">
        <v>-7892</v>
      </c>
      <c r="AS90" s="22">
        <v>-6133</v>
      </c>
      <c r="AT90" s="22">
        <v>-14292</v>
      </c>
      <c r="AU90" s="22">
        <v>-22614</v>
      </c>
      <c r="AV90" s="22">
        <v>-35764</v>
      </c>
      <c r="AW90" s="22">
        <v>-16606</v>
      </c>
      <c r="AX90" s="22">
        <v>-31667</v>
      </c>
      <c r="AZ90" s="4" t="s">
        <v>399</v>
      </c>
      <c r="BA90" s="9"/>
      <c r="BB90" s="9"/>
      <c r="BC90" s="9"/>
      <c r="BD90" s="9"/>
      <c r="BE90" s="9"/>
      <c r="BF90" s="9"/>
      <c r="BG90" s="9"/>
      <c r="BH90" s="9"/>
      <c r="BI90" s="9"/>
      <c r="BJ90" s="9"/>
    </row>
    <row r="91" spans="2:62" ht="11.25" customHeight="1" x14ac:dyDescent="0.2">
      <c r="C91" s="164" t="s">
        <v>66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8"/>
      <c r="P91" s="7">
        <v>-528</v>
      </c>
      <c r="Q91" s="8">
        <v>0</v>
      </c>
      <c r="R91" s="7">
        <v>-2295</v>
      </c>
      <c r="T91" s="22">
        <v>-2280</v>
      </c>
      <c r="U91" s="22"/>
      <c r="V91" s="22">
        <v>-1116</v>
      </c>
      <c r="W91" s="22">
        <v>-1711</v>
      </c>
      <c r="X91" s="22">
        <v>-2329</v>
      </c>
      <c r="Y91" s="22">
        <v>-590</v>
      </c>
      <c r="Z91" s="22">
        <v>-1205</v>
      </c>
      <c r="AA91" s="22">
        <v>-1847</v>
      </c>
      <c r="AB91" s="22">
        <v>-2510</v>
      </c>
      <c r="AC91" s="22">
        <v>-686</v>
      </c>
      <c r="AD91" s="22">
        <v>-1392</v>
      </c>
      <c r="AE91" s="22">
        <v>-2127</v>
      </c>
      <c r="AF91" s="22">
        <v>-2887</v>
      </c>
      <c r="AG91" s="22">
        <v>-1174</v>
      </c>
      <c r="AH91" s="22">
        <v>-1939</v>
      </c>
      <c r="AI91" s="22">
        <v>-2790</v>
      </c>
      <c r="AJ91" s="22">
        <v>-3734</v>
      </c>
      <c r="AK91" s="22">
        <v>-981</v>
      </c>
      <c r="AL91" s="22">
        <v>-2055</v>
      </c>
      <c r="AM91" s="22">
        <v>-3051</v>
      </c>
      <c r="AN91" s="22">
        <v>-4056</v>
      </c>
      <c r="AO91" s="22">
        <v>-949</v>
      </c>
      <c r="AP91" s="22">
        <v>-1950</v>
      </c>
      <c r="AQ91" s="22">
        <v>-3015</v>
      </c>
      <c r="AR91" s="22">
        <v>-4263</v>
      </c>
      <c r="AS91" s="22">
        <v>-1115</v>
      </c>
      <c r="AT91" s="22">
        <v>-2482</v>
      </c>
      <c r="AU91" s="22">
        <v>-3935</v>
      </c>
      <c r="AV91" s="22">
        <v>-5556</v>
      </c>
      <c r="AW91" s="22">
        <v>-1611</v>
      </c>
      <c r="AX91" s="22">
        <v>-2958</v>
      </c>
      <c r="BA91" s="9"/>
      <c r="BB91" s="9"/>
      <c r="BC91" s="9"/>
      <c r="BD91" s="9"/>
      <c r="BE91" s="9"/>
      <c r="BF91" s="9"/>
      <c r="BG91" s="9"/>
      <c r="BH91" s="9"/>
      <c r="BI91" s="9"/>
      <c r="BJ91" s="9"/>
    </row>
    <row r="92" spans="2:62" ht="11.25" customHeight="1" x14ac:dyDescent="0.2">
      <c r="C92" s="164" t="s">
        <v>65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8"/>
      <c r="P92" s="7">
        <v>-444</v>
      </c>
      <c r="Q92" s="8">
        <v>-155</v>
      </c>
      <c r="R92" s="7">
        <v>-608</v>
      </c>
      <c r="T92" s="22">
        <v>-1033</v>
      </c>
      <c r="U92" s="22"/>
      <c r="V92" s="22">
        <v>-631</v>
      </c>
      <c r="W92" s="22">
        <v>-898</v>
      </c>
      <c r="X92" s="22">
        <v>-1199</v>
      </c>
      <c r="Y92" s="22">
        <v>-162</v>
      </c>
      <c r="Z92" s="22">
        <v>-395</v>
      </c>
      <c r="AA92" s="22">
        <v>-788</v>
      </c>
      <c r="AB92" s="22">
        <v>-1255</v>
      </c>
      <c r="AC92" s="22">
        <v>-381</v>
      </c>
      <c r="AD92" s="22">
        <v>-871</v>
      </c>
      <c r="AE92" s="22">
        <v>-1525</v>
      </c>
      <c r="AF92" s="22">
        <v>-2125</v>
      </c>
      <c r="AG92" s="22">
        <v>-731</v>
      </c>
      <c r="AH92" s="22">
        <v>-1385</v>
      </c>
      <c r="AI92" s="22">
        <v>-2006</v>
      </c>
      <c r="AJ92" s="22">
        <v>-2854</v>
      </c>
      <c r="AK92" s="22">
        <v>-868</v>
      </c>
      <c r="AL92" s="22">
        <v>-1644</v>
      </c>
      <c r="AM92" s="22">
        <v>-2394</v>
      </c>
      <c r="AN92" s="22">
        <v>-2699</v>
      </c>
      <c r="AO92" s="22">
        <v>-398</v>
      </c>
      <c r="AP92" s="22">
        <v>-759</v>
      </c>
      <c r="AQ92" s="22">
        <v>-1121</v>
      </c>
      <c r="AR92" s="22">
        <v>-1572</v>
      </c>
      <c r="AS92" s="22">
        <v>-455</v>
      </c>
      <c r="AT92" s="22">
        <v>-1299</v>
      </c>
      <c r="AU92" s="22">
        <v>-2185</v>
      </c>
      <c r="AV92" s="22">
        <v>-4037</v>
      </c>
      <c r="AW92" s="22">
        <v>-2354</v>
      </c>
      <c r="AX92" s="22">
        <v>-4890</v>
      </c>
    </row>
    <row r="93" spans="2:62" ht="11.25" customHeight="1" x14ac:dyDescent="0.2">
      <c r="C93" s="164" t="s">
        <v>67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8"/>
      <c r="P93" s="7">
        <v>-790</v>
      </c>
      <c r="Q93" s="8">
        <v>-459</v>
      </c>
      <c r="R93" s="7">
        <v>-567</v>
      </c>
      <c r="T93" s="22">
        <v>-101</v>
      </c>
      <c r="U93" s="22"/>
      <c r="V93" s="22">
        <v>-479</v>
      </c>
      <c r="W93" s="22">
        <v>-838</v>
      </c>
      <c r="X93" s="22">
        <v>-1096</v>
      </c>
      <c r="Y93" s="22">
        <v>-239</v>
      </c>
      <c r="Z93" s="22">
        <v>-462</v>
      </c>
      <c r="AA93" s="22">
        <v>-693</v>
      </c>
      <c r="AB93" s="22">
        <v>-1180</v>
      </c>
      <c r="AC93" s="22">
        <v>-594</v>
      </c>
      <c r="AD93" s="22">
        <v>-1253</v>
      </c>
      <c r="AE93" s="22">
        <v>-1884</v>
      </c>
      <c r="AF93" s="22">
        <v>-2503</v>
      </c>
      <c r="AG93" s="22">
        <v>-532</v>
      </c>
      <c r="AH93" s="22">
        <v>-1079</v>
      </c>
      <c r="AI93" s="22">
        <v>-1650</v>
      </c>
      <c r="AJ93" s="22">
        <v>-2268</v>
      </c>
      <c r="AK93" s="22">
        <v>-582</v>
      </c>
      <c r="AL93" s="22">
        <v>-1140</v>
      </c>
      <c r="AM93" s="22">
        <v>-1730</v>
      </c>
      <c r="AN93" s="22">
        <v>-2417</v>
      </c>
      <c r="AO93" s="22">
        <v>-707</v>
      </c>
      <c r="AP93" s="22">
        <v>-1430</v>
      </c>
      <c r="AQ93" s="22">
        <v>-2237</v>
      </c>
      <c r="AR93" s="22">
        <v>-2682</v>
      </c>
      <c r="AS93" s="22">
        <v>-502</v>
      </c>
      <c r="AT93" s="22">
        <v>-1044</v>
      </c>
      <c r="AU93" s="22">
        <v>-1631</v>
      </c>
      <c r="AV93" s="22">
        <v>-2236</v>
      </c>
      <c r="AW93" s="22">
        <v>-555</v>
      </c>
      <c r="AX93" s="22">
        <v>-1643</v>
      </c>
    </row>
    <row r="94" spans="2:62" ht="11.25" customHeight="1" x14ac:dyDescent="0.2">
      <c r="C94" s="164" t="s">
        <v>294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8"/>
      <c r="P94" s="7"/>
      <c r="Q94" s="8"/>
      <c r="R94" s="7"/>
      <c r="T94" s="22"/>
      <c r="U94" s="22"/>
      <c r="V94" s="22"/>
      <c r="W94" s="22"/>
      <c r="X94" s="22"/>
      <c r="Y94" s="22">
        <v>-148</v>
      </c>
      <c r="Z94" s="22">
        <v>-291</v>
      </c>
      <c r="AA94" s="22">
        <v>-426</v>
      </c>
      <c r="AB94" s="22">
        <v>-553</v>
      </c>
      <c r="AC94" s="22">
        <v>-122</v>
      </c>
      <c r="AD94" s="22">
        <v>-225</v>
      </c>
      <c r="AE94" s="22">
        <v>-340</v>
      </c>
      <c r="AF94" s="22">
        <v>-422</v>
      </c>
      <c r="AG94" s="22">
        <v>-95</v>
      </c>
      <c r="AH94" s="22">
        <v>-250</v>
      </c>
      <c r="AI94" s="22">
        <v>-378</v>
      </c>
      <c r="AJ94" s="22">
        <v>-512</v>
      </c>
      <c r="AK94" s="22">
        <v>-156</v>
      </c>
      <c r="AL94" s="22">
        <v>-323</v>
      </c>
      <c r="AM94" s="22">
        <v>-478</v>
      </c>
      <c r="AN94" s="22">
        <v>-663</v>
      </c>
      <c r="AO94" s="22">
        <v>-167</v>
      </c>
      <c r="AP94" s="22">
        <v>-341</v>
      </c>
      <c r="AQ94" s="22">
        <v>-536</v>
      </c>
      <c r="AR94" s="22">
        <v>-763</v>
      </c>
      <c r="AS94" s="22">
        <v>-260</v>
      </c>
      <c r="AT94" s="22">
        <v>-567</v>
      </c>
      <c r="AU94" s="22">
        <v>-943</v>
      </c>
      <c r="AV94" s="22">
        <v>-1377</v>
      </c>
      <c r="AW94" s="22">
        <v>-497</v>
      </c>
      <c r="AX94" s="22">
        <v>-1031</v>
      </c>
    </row>
    <row r="95" spans="2:62" ht="11.25" customHeight="1" x14ac:dyDescent="0.2">
      <c r="C95" s="164" t="s">
        <v>490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8"/>
      <c r="P95" s="7"/>
      <c r="Q95" s="8"/>
      <c r="R95" s="7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>
        <v>-545</v>
      </c>
      <c r="AX95" s="22">
        <v>-738</v>
      </c>
      <c r="AZ95" s="4" t="s">
        <v>503</v>
      </c>
    </row>
    <row r="96" spans="2:62" s="6" customFormat="1" x14ac:dyDescent="0.2">
      <c r="B96" s="13"/>
      <c r="C96" s="13" t="s">
        <v>10</v>
      </c>
      <c r="D96" s="17">
        <v>-2808</v>
      </c>
      <c r="E96" s="17"/>
      <c r="F96" s="17">
        <v>-2946.337</v>
      </c>
      <c r="G96" s="17"/>
      <c r="H96" s="17">
        <v>-3619.0619999999999</v>
      </c>
      <c r="I96" s="17"/>
      <c r="J96" s="17">
        <v>-5351.5360000000001</v>
      </c>
      <c r="K96" s="17"/>
      <c r="L96" s="17">
        <v>-7831.5360000000001</v>
      </c>
      <c r="M96" s="17"/>
      <c r="N96" s="17">
        <v>-12374</v>
      </c>
      <c r="O96" s="17"/>
      <c r="P96" s="17">
        <f>SUM(P89:P93)</f>
        <v>-26726</v>
      </c>
      <c r="Q96" s="17">
        <f>SUM(Q89:Q93)</f>
        <v>-18276</v>
      </c>
      <c r="R96" s="17">
        <f t="shared" ref="R96:Y96" si="36">SUM(R89:R94)</f>
        <v>-34831</v>
      </c>
      <c r="S96" s="17">
        <f t="shared" si="36"/>
        <v>0</v>
      </c>
      <c r="T96" s="17">
        <f t="shared" si="36"/>
        <v>-34482</v>
      </c>
      <c r="U96" s="17">
        <f t="shared" si="36"/>
        <v>0</v>
      </c>
      <c r="V96" s="17">
        <f t="shared" si="36"/>
        <v>-18746</v>
      </c>
      <c r="W96" s="17">
        <f t="shared" si="36"/>
        <v>-28313</v>
      </c>
      <c r="X96" s="17">
        <f t="shared" si="36"/>
        <v>-37754</v>
      </c>
      <c r="Y96" s="17">
        <f t="shared" si="36"/>
        <v>-10473</v>
      </c>
      <c r="Z96" s="17">
        <f>SUM(Z89:Z94)</f>
        <v>-21893</v>
      </c>
      <c r="AA96" s="17">
        <f t="shared" ref="AA96:AV96" si="37">SUM(AA89:AA94)</f>
        <v>-33820</v>
      </c>
      <c r="AB96" s="17">
        <f t="shared" si="37"/>
        <v>-44416</v>
      </c>
      <c r="AC96" s="17">
        <f t="shared" si="37"/>
        <v>-12401</v>
      </c>
      <c r="AD96" s="17">
        <f t="shared" si="37"/>
        <v>-25986</v>
      </c>
      <c r="AE96" s="17">
        <f t="shared" si="37"/>
        <v>-39105</v>
      </c>
      <c r="AF96" s="17">
        <f t="shared" si="37"/>
        <v>-51202</v>
      </c>
      <c r="AG96" s="17">
        <f t="shared" si="37"/>
        <v>-12897</v>
      </c>
      <c r="AH96" s="17">
        <f t="shared" si="37"/>
        <v>-28201</v>
      </c>
      <c r="AI96" s="17">
        <f t="shared" si="37"/>
        <v>-44579</v>
      </c>
      <c r="AJ96" s="17">
        <f t="shared" si="37"/>
        <v>-63953</v>
      </c>
      <c r="AK96" s="17">
        <f t="shared" si="37"/>
        <v>-29458</v>
      </c>
      <c r="AL96" s="17">
        <f t="shared" si="37"/>
        <v>-78515</v>
      </c>
      <c r="AM96" s="17">
        <f t="shared" si="37"/>
        <v>-109662</v>
      </c>
      <c r="AN96" s="17">
        <f t="shared" si="37"/>
        <v>-138679</v>
      </c>
      <c r="AO96" s="17">
        <f t="shared" si="37"/>
        <v>-30028</v>
      </c>
      <c r="AP96" s="17">
        <f t="shared" si="37"/>
        <v>-61323</v>
      </c>
      <c r="AQ96" s="17">
        <f t="shared" si="37"/>
        <v>-103817</v>
      </c>
      <c r="AR96" s="17">
        <f t="shared" si="37"/>
        <v>-171753</v>
      </c>
      <c r="AS96" s="17">
        <f t="shared" si="37"/>
        <v>-86377</v>
      </c>
      <c r="AT96" s="17">
        <f t="shared" si="37"/>
        <v>-186113</v>
      </c>
      <c r="AU96" s="17">
        <f t="shared" si="37"/>
        <v>-301394</v>
      </c>
      <c r="AV96" s="17">
        <f t="shared" si="37"/>
        <v>-437934</v>
      </c>
      <c r="AW96" s="17">
        <f>SUM(AW89:AW95)</f>
        <v>-146915</v>
      </c>
      <c r="AX96" s="17">
        <f>SUM(AX89:AX95)</f>
        <v>-292047</v>
      </c>
      <c r="BA96" s="15"/>
      <c r="BB96" s="15"/>
      <c r="BC96" s="15"/>
    </row>
    <row r="97" spans="2:55" x14ac:dyDescent="0.2"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2:55" x14ac:dyDescent="0.2">
      <c r="C98" s="9" t="s">
        <v>11</v>
      </c>
      <c r="D98" s="8"/>
      <c r="E98" s="8"/>
      <c r="F98" s="8">
        <v>-78.171000000000006</v>
      </c>
      <c r="G98" s="8"/>
      <c r="H98" s="8">
        <v>-112.50700000000001</v>
      </c>
      <c r="I98" s="8"/>
      <c r="J98" s="8">
        <v>-176.328</v>
      </c>
      <c r="K98" s="8"/>
      <c r="L98" s="8">
        <v>-240.09100000000001</v>
      </c>
      <c r="M98" s="8"/>
      <c r="N98" s="8">
        <v>-355</v>
      </c>
      <c r="O98" s="8"/>
      <c r="P98" s="8">
        <v>-427</v>
      </c>
      <c r="Q98" s="8">
        <v>-392</v>
      </c>
      <c r="R98" s="8">
        <v>-901</v>
      </c>
      <c r="T98" s="8">
        <v>-1263</v>
      </c>
      <c r="U98" s="8"/>
      <c r="V98" s="8">
        <v>-999</v>
      </c>
      <c r="W98" s="8">
        <v>-1589</v>
      </c>
      <c r="X98" s="8">
        <v>-2190</v>
      </c>
      <c r="Y98" s="8">
        <v>-643</v>
      </c>
      <c r="Z98" s="8">
        <v>-1254</v>
      </c>
      <c r="AA98" s="8">
        <v>-1886</v>
      </c>
      <c r="AB98" s="8">
        <v>-2634</v>
      </c>
      <c r="AC98" s="8">
        <v>-764</v>
      </c>
      <c r="AD98" s="8">
        <v>-1025</v>
      </c>
      <c r="AE98" s="8">
        <v>-1559</v>
      </c>
      <c r="AF98" s="8">
        <v>-2104</v>
      </c>
      <c r="AG98" s="8">
        <v>-580</v>
      </c>
      <c r="AH98" s="8">
        <v>-1302</v>
      </c>
      <c r="AI98" s="8">
        <v>-2147</v>
      </c>
      <c r="AJ98" s="8">
        <v>-3048</v>
      </c>
      <c r="AK98" s="8">
        <v>-931</v>
      </c>
      <c r="AL98" s="8">
        <v>-1967</v>
      </c>
      <c r="AM98" s="8">
        <v>-3135</v>
      </c>
      <c r="AN98" s="8">
        <v>-4368</v>
      </c>
      <c r="AO98" s="8">
        <v>-1395</v>
      </c>
      <c r="AP98" s="8">
        <v>-1744</v>
      </c>
      <c r="AQ98" s="8">
        <v>-2879</v>
      </c>
      <c r="AR98" s="8">
        <v>-4097</v>
      </c>
      <c r="AS98" s="8">
        <v>-1338</v>
      </c>
      <c r="AT98" s="8">
        <v>-3016</v>
      </c>
      <c r="AU98" s="8">
        <v>-4708</v>
      </c>
      <c r="AV98" s="8">
        <v>-6487</v>
      </c>
      <c r="AW98" s="8">
        <v>-1981</v>
      </c>
      <c r="AX98" s="8">
        <v>-3944</v>
      </c>
      <c r="AY98" s="19"/>
      <c r="BA98" s="15"/>
      <c r="BB98" s="15"/>
      <c r="BC98" s="15"/>
    </row>
    <row r="99" spans="2:55" s="6" customFormat="1" x14ac:dyDescent="0.2">
      <c r="B99" s="13"/>
      <c r="C99" s="13" t="s">
        <v>12</v>
      </c>
      <c r="D99" s="17">
        <f t="shared" ref="D99:N99" si="38">D87+D96+D98</f>
        <v>3403</v>
      </c>
      <c r="E99" s="17"/>
      <c r="F99" s="17">
        <f t="shared" si="38"/>
        <v>4983.3269999999993</v>
      </c>
      <c r="G99" s="17"/>
      <c r="H99" s="17">
        <f t="shared" si="38"/>
        <v>5592.902</v>
      </c>
      <c r="I99" s="17"/>
      <c r="J99" s="17">
        <f t="shared" si="38"/>
        <v>7195.8440000000001</v>
      </c>
      <c r="K99" s="17"/>
      <c r="L99" s="17">
        <f t="shared" si="38"/>
        <v>10459.058000000001</v>
      </c>
      <c r="M99" s="17"/>
      <c r="N99" s="17">
        <f t="shared" si="38"/>
        <v>17233</v>
      </c>
      <c r="O99" s="17"/>
      <c r="P99" s="17">
        <f>P87+P96+P98</f>
        <v>17877</v>
      </c>
      <c r="Q99" s="17">
        <f>Q87+Q96+Q98</f>
        <v>12941</v>
      </c>
      <c r="R99" s="17">
        <f>R87+R96+R98</f>
        <v>27745</v>
      </c>
      <c r="S99" s="8">
        <v>16016</v>
      </c>
      <c r="T99" s="17">
        <f>T87+T96+T98</f>
        <v>32978</v>
      </c>
      <c r="U99" s="17"/>
      <c r="V99" s="17">
        <f>V87+V96+V98</f>
        <v>21391</v>
      </c>
      <c r="W99" s="17">
        <f>W87+W96+W98</f>
        <v>33977</v>
      </c>
      <c r="X99" s="17">
        <f>X87+X96+X98</f>
        <v>47479</v>
      </c>
      <c r="Y99" s="17">
        <f>Y87+Y96+Y98</f>
        <v>13101</v>
      </c>
      <c r="Z99" s="17">
        <f>Z87+Z96+Z98</f>
        <v>26148</v>
      </c>
      <c r="AA99" s="17">
        <f t="shared" ref="AA99:AR99" si="39">AA87+AA96+AA98</f>
        <v>40210</v>
      </c>
      <c r="AB99" s="17">
        <f t="shared" si="39"/>
        <v>55070</v>
      </c>
      <c r="AC99" s="17">
        <f t="shared" si="39"/>
        <v>17877</v>
      </c>
      <c r="AD99" s="17">
        <f t="shared" si="39"/>
        <v>37118</v>
      </c>
      <c r="AE99" s="17">
        <f>AE87+AE96+AE98</f>
        <v>58902</v>
      </c>
      <c r="AF99" s="17">
        <f t="shared" si="39"/>
        <v>79812</v>
      </c>
      <c r="AG99" s="17">
        <f t="shared" si="39"/>
        <v>21819</v>
      </c>
      <c r="AH99" s="17">
        <f t="shared" si="39"/>
        <v>51650</v>
      </c>
      <c r="AI99" s="17">
        <f t="shared" si="39"/>
        <v>82951</v>
      </c>
      <c r="AJ99" s="17">
        <f t="shared" si="39"/>
        <v>116093</v>
      </c>
      <c r="AK99" s="17">
        <f t="shared" si="39"/>
        <v>27617</v>
      </c>
      <c r="AL99" s="17">
        <f t="shared" si="39"/>
        <v>40592</v>
      </c>
      <c r="AM99" s="17">
        <f t="shared" si="39"/>
        <v>69695</v>
      </c>
      <c r="AN99" s="17">
        <f t="shared" si="39"/>
        <v>103028</v>
      </c>
      <c r="AO99" s="17">
        <f t="shared" si="39"/>
        <v>31907</v>
      </c>
      <c r="AP99" s="17">
        <f t="shared" si="39"/>
        <v>66831</v>
      </c>
      <c r="AQ99" s="17">
        <f t="shared" si="39"/>
        <v>103809</v>
      </c>
      <c r="AR99" s="17">
        <f t="shared" si="39"/>
        <v>138862</v>
      </c>
      <c r="AS99" s="17">
        <f t="shared" ref="AS99:AX99" si="40">AS87+AS96+AS98</f>
        <v>35554</v>
      </c>
      <c r="AT99" s="17">
        <f t="shared" si="40"/>
        <v>77982</v>
      </c>
      <c r="AU99" s="17">
        <f t="shared" si="40"/>
        <v>117916</v>
      </c>
      <c r="AV99" s="17">
        <f t="shared" si="40"/>
        <v>158061</v>
      </c>
      <c r="AW99" s="17">
        <f t="shared" si="40"/>
        <v>34888</v>
      </c>
      <c r="AX99" s="17">
        <f t="shared" si="40"/>
        <v>73193</v>
      </c>
      <c r="AY99" s="17"/>
      <c r="BA99" s="15"/>
      <c r="BB99" s="15"/>
      <c r="BC99" s="15"/>
    </row>
    <row r="100" spans="2:55" s="6" customFormat="1" x14ac:dyDescent="0.2">
      <c r="B100" s="13"/>
      <c r="C100" s="13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314"/>
    </row>
    <row r="101" spans="2:55" x14ac:dyDescent="0.2">
      <c r="C101" s="164" t="s">
        <v>319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>
        <v>-8469</v>
      </c>
      <c r="Q101" s="8">
        <f>-(2147+355+37)</f>
        <v>-2539</v>
      </c>
      <c r="R101" s="8">
        <v>-3677</v>
      </c>
      <c r="S101" s="64"/>
      <c r="T101" s="8">
        <v>-3808</v>
      </c>
      <c r="U101" s="8"/>
      <c r="V101" s="8">
        <v>-2166</v>
      </c>
      <c r="W101" s="8">
        <v>-2884</v>
      </c>
      <c r="X101" s="8">
        <v>-4019</v>
      </c>
      <c r="Y101" s="8">
        <v>-818</v>
      </c>
      <c r="Z101" s="8">
        <v>-2819</v>
      </c>
      <c r="AA101" s="8">
        <v>-4685</v>
      </c>
      <c r="AB101" s="8">
        <f>AB402</f>
        <v>-8013</v>
      </c>
      <c r="AC101" s="8">
        <v>-1486</v>
      </c>
      <c r="AD101" s="8">
        <v>-9297</v>
      </c>
      <c r="AE101" s="8">
        <v>-14400</v>
      </c>
      <c r="AF101" s="8">
        <f t="shared" ref="AF101:AH103" si="41">AF402</f>
        <v>-17673</v>
      </c>
      <c r="AG101" s="8">
        <f t="shared" si="41"/>
        <v>-2054</v>
      </c>
      <c r="AH101" s="8">
        <f t="shared" si="41"/>
        <v>-7966</v>
      </c>
      <c r="AI101" s="8">
        <f t="shared" ref="AI101:AI103" si="42">AI402</f>
        <v>-11234</v>
      </c>
      <c r="AJ101" s="8">
        <f t="shared" ref="AJ101:AK101" si="43">AJ402</f>
        <v>-17123</v>
      </c>
      <c r="AK101" s="8">
        <f t="shared" si="43"/>
        <v>-7298</v>
      </c>
      <c r="AL101" s="8">
        <f t="shared" ref="AL101:AM101" si="44">AL402</f>
        <v>-14741</v>
      </c>
      <c r="AM101" s="8">
        <f t="shared" si="44"/>
        <v>-21950</v>
      </c>
      <c r="AN101" s="8">
        <f t="shared" ref="AN101:AO101" si="45">AN402</f>
        <v>-28718</v>
      </c>
      <c r="AO101" s="8">
        <f t="shared" si="45"/>
        <v>-6101</v>
      </c>
      <c r="AP101" s="8">
        <f t="shared" ref="AP101:AQ101" si="46">AP402</f>
        <v>-11656</v>
      </c>
      <c r="AQ101" s="8">
        <f t="shared" si="46"/>
        <v>-15714</v>
      </c>
      <c r="AR101" s="8">
        <f t="shared" ref="AR101:AS101" si="47">AR402</f>
        <v>-19334</v>
      </c>
      <c r="AS101" s="8">
        <f t="shared" si="47"/>
        <v>-12715</v>
      </c>
      <c r="AT101" s="8">
        <f t="shared" ref="AT101:AU101" si="48">AT402</f>
        <v>-25689</v>
      </c>
      <c r="AU101" s="8">
        <f t="shared" si="48"/>
        <v>-40064</v>
      </c>
      <c r="AV101" s="8">
        <f t="shared" ref="AV101:AW101" si="49">AV402</f>
        <v>-53251</v>
      </c>
      <c r="AW101" s="8">
        <f t="shared" si="49"/>
        <v>-13506</v>
      </c>
      <c r="AX101" s="8">
        <f t="shared" ref="AX101" si="50">AX402</f>
        <v>-36093</v>
      </c>
      <c r="AY101" s="20"/>
      <c r="AZ101" s="71">
        <f>-(396-960+2+750+362-454+27-46-219+331+35+156-152+1+20)</f>
        <v>-249</v>
      </c>
    </row>
    <row r="102" spans="2:55" x14ac:dyDescent="0.2">
      <c r="C102" s="164" t="s">
        <v>361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>
        <v>-552</v>
      </c>
      <c r="Q102" s="8">
        <f>-(243+72+40)</f>
        <v>-355</v>
      </c>
      <c r="R102" s="8">
        <v>-1010</v>
      </c>
      <c r="S102" s="64"/>
      <c r="T102" s="8">
        <v>-105</v>
      </c>
      <c r="U102" s="8"/>
      <c r="V102" s="8">
        <v>-667</v>
      </c>
      <c r="W102" s="8">
        <v>-1104</v>
      </c>
      <c r="X102" s="8">
        <v>-1318</v>
      </c>
      <c r="Y102" s="8">
        <v>-45</v>
      </c>
      <c r="Z102" s="8">
        <v>-8</v>
      </c>
      <c r="AA102" s="8">
        <v>-1420</v>
      </c>
      <c r="AB102" s="8">
        <f>AB403</f>
        <v>-1700</v>
      </c>
      <c r="AC102" s="8">
        <v>-185</v>
      </c>
      <c r="AD102" s="8">
        <v>-2612</v>
      </c>
      <c r="AE102" s="8">
        <v>-3287</v>
      </c>
      <c r="AF102" s="8">
        <f t="shared" si="41"/>
        <v>-4269</v>
      </c>
      <c r="AG102" s="8">
        <f t="shared" si="41"/>
        <v>-2523</v>
      </c>
      <c r="AH102" s="8">
        <f t="shared" si="41"/>
        <v>-5045</v>
      </c>
      <c r="AI102" s="8">
        <f t="shared" si="42"/>
        <v>-8917</v>
      </c>
      <c r="AJ102" s="8">
        <f t="shared" ref="AJ102:AK102" si="51">AJ403</f>
        <v>-11945</v>
      </c>
      <c r="AK102" s="8">
        <f t="shared" si="51"/>
        <v>-13168</v>
      </c>
      <c r="AL102" s="8">
        <f t="shared" ref="AL102:AM102" si="52">AL403</f>
        <v>-15701</v>
      </c>
      <c r="AM102" s="8">
        <f t="shared" si="52"/>
        <v>-21292</v>
      </c>
      <c r="AN102" s="8">
        <f t="shared" ref="AN102:AO102" si="53">AN403</f>
        <v>-22572</v>
      </c>
      <c r="AO102" s="8">
        <f t="shared" si="53"/>
        <v>-7464</v>
      </c>
      <c r="AP102" s="8">
        <f t="shared" ref="AP102:AQ102" si="54">AP403</f>
        <v>-10021</v>
      </c>
      <c r="AQ102" s="8">
        <f t="shared" si="54"/>
        <v>-10963</v>
      </c>
      <c r="AR102" s="8">
        <f t="shared" ref="AR102:AS102" si="55">AR403</f>
        <v>-12417</v>
      </c>
      <c r="AS102" s="8">
        <f t="shared" si="55"/>
        <v>-4297</v>
      </c>
      <c r="AT102" s="8">
        <f t="shared" ref="AT102:AU102" si="56">AT403</f>
        <v>-6305</v>
      </c>
      <c r="AU102" s="8">
        <f t="shared" si="56"/>
        <v>-10834</v>
      </c>
      <c r="AV102" s="8">
        <f t="shared" ref="AV102:AW102" si="57">AV403</f>
        <v>-19239</v>
      </c>
      <c r="AW102" s="8">
        <f t="shared" si="57"/>
        <v>940</v>
      </c>
      <c r="AX102" s="8">
        <f t="shared" ref="AX102" si="58">AX403</f>
        <v>-3334</v>
      </c>
      <c r="AY102" s="9"/>
      <c r="AZ102" s="71"/>
    </row>
    <row r="103" spans="2:55" x14ac:dyDescent="0.2">
      <c r="C103" s="164" t="s">
        <v>321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64"/>
      <c r="T103" s="8">
        <v>-525</v>
      </c>
      <c r="U103" s="8"/>
      <c r="V103" s="8"/>
      <c r="W103" s="8">
        <v>-2604</v>
      </c>
      <c r="X103" s="8">
        <v>-2131</v>
      </c>
      <c r="Y103" s="8">
        <v>-176</v>
      </c>
      <c r="Z103" s="8">
        <v>-574</v>
      </c>
      <c r="AA103" s="8">
        <v>192</v>
      </c>
      <c r="AB103" s="8">
        <f>AB404</f>
        <v>1874</v>
      </c>
      <c r="AC103" s="8">
        <v>-131</v>
      </c>
      <c r="AD103" s="8">
        <v>412</v>
      </c>
      <c r="AE103" s="8">
        <v>523</v>
      </c>
      <c r="AF103" s="8">
        <f t="shared" si="41"/>
        <v>1005</v>
      </c>
      <c r="AG103" s="8">
        <f t="shared" si="41"/>
        <v>2096</v>
      </c>
      <c r="AH103" s="8">
        <f t="shared" si="41"/>
        <v>2087</v>
      </c>
      <c r="AI103" s="8">
        <f t="shared" si="42"/>
        <v>2244</v>
      </c>
      <c r="AJ103" s="8">
        <f t="shared" ref="AJ103:AK103" si="59">AJ404</f>
        <v>-2569</v>
      </c>
      <c r="AK103" s="8">
        <f t="shared" si="59"/>
        <v>-428</v>
      </c>
      <c r="AL103" s="8">
        <f t="shared" ref="AL103:AM103" si="60">AL404</f>
        <v>1523</v>
      </c>
      <c r="AM103" s="8">
        <f t="shared" si="60"/>
        <v>867</v>
      </c>
      <c r="AN103" s="8">
        <f t="shared" ref="AN103:AO103" si="61">AN404</f>
        <v>-2652</v>
      </c>
      <c r="AO103" s="8">
        <f t="shared" si="61"/>
        <v>1626</v>
      </c>
      <c r="AP103" s="8">
        <f t="shared" ref="AP103:AQ103" si="62">AP404</f>
        <v>475</v>
      </c>
      <c r="AQ103" s="8">
        <f t="shared" si="62"/>
        <v>-2706</v>
      </c>
      <c r="AR103" s="8">
        <f t="shared" ref="AR103:AS103" si="63">AR404</f>
        <v>-762</v>
      </c>
      <c r="AS103" s="8">
        <f t="shared" si="63"/>
        <v>-148</v>
      </c>
      <c r="AT103" s="8">
        <f t="shared" ref="AT103:AU103" si="64">AT404</f>
        <v>-302</v>
      </c>
      <c r="AU103" s="8">
        <f t="shared" si="64"/>
        <v>-292</v>
      </c>
      <c r="AV103" s="8">
        <f t="shared" ref="AV103:AW103" si="65">AV404</f>
        <v>-1417</v>
      </c>
      <c r="AW103" s="8">
        <f t="shared" si="65"/>
        <v>557</v>
      </c>
      <c r="AX103" s="8">
        <f t="shared" ref="AX103" si="66">AX404</f>
        <v>2371</v>
      </c>
      <c r="AY103" s="9"/>
      <c r="AZ103" s="71"/>
    </row>
    <row r="104" spans="2:55" hidden="1" x14ac:dyDescent="0.2">
      <c r="C104" s="164" t="s">
        <v>154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64"/>
      <c r="T104" s="8"/>
      <c r="U104" s="8"/>
      <c r="V104" s="16">
        <v>-1608</v>
      </c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9"/>
      <c r="AZ104" s="71"/>
    </row>
    <row r="105" spans="2:55" x14ac:dyDescent="0.2">
      <c r="C105" s="9" t="s">
        <v>483</v>
      </c>
      <c r="D105" s="21">
        <v>-3141</v>
      </c>
      <c r="E105" s="21"/>
      <c r="F105" s="21">
        <v>-1287.508</v>
      </c>
      <c r="G105" s="21"/>
      <c r="H105" s="21">
        <v>-1556.4879999999998</v>
      </c>
      <c r="I105" s="21"/>
      <c r="J105" s="21">
        <v>-3731.328</v>
      </c>
      <c r="K105" s="21"/>
      <c r="L105" s="21">
        <v>-6358.4470000000001</v>
      </c>
      <c r="M105" s="21"/>
      <c r="N105" s="21">
        <v>-11136</v>
      </c>
      <c r="O105" s="21"/>
      <c r="P105" s="21">
        <f>SUM(P101:P102)</f>
        <v>-9021</v>
      </c>
      <c r="Q105" s="21">
        <f>SUM(Q101:Q102)</f>
        <v>-2894</v>
      </c>
      <c r="R105" s="21">
        <f>SUM(R101:R102)</f>
        <v>-4687</v>
      </c>
      <c r="S105" s="64"/>
      <c r="T105" s="21">
        <f>SUM(T101:T103)</f>
        <v>-4438</v>
      </c>
      <c r="U105" s="21"/>
      <c r="V105" s="21">
        <f>SUM(V101:V104)</f>
        <v>-4441</v>
      </c>
      <c r="W105" s="21">
        <f>SUM(W101:W104)</f>
        <v>-6592</v>
      </c>
      <c r="X105" s="21">
        <v>-7468</v>
      </c>
      <c r="Y105" s="21">
        <f>SUM(Y101:Y103)</f>
        <v>-1039</v>
      </c>
      <c r="Z105" s="21">
        <f>SUM(Z101:Z103)</f>
        <v>-3401</v>
      </c>
      <c r="AA105" s="21">
        <v>-4492</v>
      </c>
      <c r="AB105" s="21">
        <v>-7839</v>
      </c>
      <c r="AC105" s="21">
        <v>-5516</v>
      </c>
      <c r="AD105" s="21">
        <v>-11497</v>
      </c>
      <c r="AE105" s="21">
        <v>-17164</v>
      </c>
      <c r="AF105" s="21">
        <v>-20937</v>
      </c>
      <c r="AG105" s="21">
        <v>-2481</v>
      </c>
      <c r="AH105" s="21">
        <v>-10924</v>
      </c>
      <c r="AI105" s="21">
        <v>-17907</v>
      </c>
      <c r="AJ105" s="21">
        <v>-31637</v>
      </c>
      <c r="AK105" s="21">
        <v>-20894</v>
      </c>
      <c r="AL105" s="21">
        <v>-28919</v>
      </c>
      <c r="AM105" s="21">
        <v>-42375</v>
      </c>
      <c r="AN105" s="21">
        <v>-53942</v>
      </c>
      <c r="AO105" s="21">
        <v>-11939</v>
      </c>
      <c r="AP105" s="21">
        <v>-21202</v>
      </c>
      <c r="AQ105" s="21">
        <v>-29383</v>
      </c>
      <c r="AR105" s="21">
        <v>-32513</v>
      </c>
      <c r="AS105" s="21">
        <v>-17160</v>
      </c>
      <c r="AT105" s="21">
        <v>-32296</v>
      </c>
      <c r="AU105" s="21">
        <v>-51190</v>
      </c>
      <c r="AV105" s="21">
        <v>-73907</v>
      </c>
      <c r="AW105" s="21">
        <v>-12009</v>
      </c>
      <c r="AX105" s="21">
        <v>-37056</v>
      </c>
      <c r="AY105" s="126"/>
      <c r="AZ105" s="71"/>
      <c r="BA105" s="15"/>
      <c r="BB105" s="15"/>
      <c r="BC105" s="15"/>
    </row>
    <row r="106" spans="2:55" s="6" customFormat="1" x14ac:dyDescent="0.2">
      <c r="B106" s="13"/>
      <c r="C106" s="13" t="s">
        <v>482</v>
      </c>
      <c r="D106" s="17">
        <f>D99+D105</f>
        <v>262</v>
      </c>
      <c r="E106" s="17"/>
      <c r="F106" s="17">
        <f>F99+F105</f>
        <v>3695.8189999999995</v>
      </c>
      <c r="G106" s="17"/>
      <c r="H106" s="17">
        <f>H99+H105</f>
        <v>4036.4140000000002</v>
      </c>
      <c r="I106" s="17"/>
      <c r="J106" s="17">
        <f>J99+J105</f>
        <v>3464.5160000000001</v>
      </c>
      <c r="K106" s="17"/>
      <c r="L106" s="17">
        <f>L99+L105</f>
        <v>4100.6110000000008</v>
      </c>
      <c r="M106" s="17"/>
      <c r="N106" s="17">
        <f>N99+N105</f>
        <v>6097</v>
      </c>
      <c r="O106" s="17"/>
      <c r="P106" s="17">
        <f>P99+P105</f>
        <v>8856</v>
      </c>
      <c r="Q106" s="17">
        <f>Q99+Q105</f>
        <v>10047</v>
      </c>
      <c r="R106" s="17">
        <f>R99+R105</f>
        <v>23058</v>
      </c>
      <c r="T106" s="17">
        <f>T99+T105</f>
        <v>28540</v>
      </c>
      <c r="U106" s="17"/>
      <c r="V106" s="17">
        <f t="shared" ref="V106:AX106" si="67">V99+V105</f>
        <v>16950</v>
      </c>
      <c r="W106" s="17">
        <f t="shared" si="67"/>
        <v>27385</v>
      </c>
      <c r="X106" s="17">
        <f t="shared" si="67"/>
        <v>40011</v>
      </c>
      <c r="Y106" s="17">
        <f t="shared" si="67"/>
        <v>12062</v>
      </c>
      <c r="Z106" s="17">
        <f t="shared" si="67"/>
        <v>22747</v>
      </c>
      <c r="AA106" s="17">
        <f t="shared" si="67"/>
        <v>35718</v>
      </c>
      <c r="AB106" s="17">
        <f t="shared" si="67"/>
        <v>47231</v>
      </c>
      <c r="AC106" s="17">
        <f t="shared" si="67"/>
        <v>12361</v>
      </c>
      <c r="AD106" s="17">
        <f t="shared" si="67"/>
        <v>25621</v>
      </c>
      <c r="AE106" s="17">
        <f t="shared" si="67"/>
        <v>41738</v>
      </c>
      <c r="AF106" s="17">
        <f t="shared" si="67"/>
        <v>58875</v>
      </c>
      <c r="AG106" s="17">
        <f t="shared" si="67"/>
        <v>19338</v>
      </c>
      <c r="AH106" s="17">
        <f t="shared" si="67"/>
        <v>40726</v>
      </c>
      <c r="AI106" s="17">
        <f t="shared" si="67"/>
        <v>65044</v>
      </c>
      <c r="AJ106" s="17">
        <f t="shared" si="67"/>
        <v>84456</v>
      </c>
      <c r="AK106" s="17">
        <f t="shared" si="67"/>
        <v>6723</v>
      </c>
      <c r="AL106" s="17">
        <f t="shared" si="67"/>
        <v>11673</v>
      </c>
      <c r="AM106" s="17">
        <f t="shared" si="67"/>
        <v>27320</v>
      </c>
      <c r="AN106" s="17">
        <f t="shared" si="67"/>
        <v>49086</v>
      </c>
      <c r="AO106" s="17">
        <f t="shared" si="67"/>
        <v>19968</v>
      </c>
      <c r="AP106" s="17">
        <f t="shared" si="67"/>
        <v>45629</v>
      </c>
      <c r="AQ106" s="17">
        <f t="shared" si="67"/>
        <v>74426</v>
      </c>
      <c r="AR106" s="17">
        <f t="shared" si="67"/>
        <v>106349</v>
      </c>
      <c r="AS106" s="17">
        <f t="shared" si="67"/>
        <v>18394</v>
      </c>
      <c r="AT106" s="17">
        <f t="shared" si="67"/>
        <v>45686</v>
      </c>
      <c r="AU106" s="17">
        <f t="shared" si="67"/>
        <v>66726</v>
      </c>
      <c r="AV106" s="17">
        <f t="shared" si="67"/>
        <v>84154</v>
      </c>
      <c r="AW106" s="17">
        <f>AW99+AW105</f>
        <v>22879</v>
      </c>
      <c r="AX106" s="17">
        <f t="shared" si="67"/>
        <v>36137</v>
      </c>
      <c r="AY106" s="319"/>
    </row>
    <row r="107" spans="2:55" x14ac:dyDescent="0.2">
      <c r="C107" s="9" t="s">
        <v>13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>
        <v>10304</v>
      </c>
      <c r="Q107" s="8">
        <v>6544</v>
      </c>
      <c r="R107" s="8">
        <v>13921</v>
      </c>
      <c r="T107" s="8">
        <v>20282</v>
      </c>
      <c r="U107" s="8"/>
      <c r="V107" s="8">
        <v>11072</v>
      </c>
      <c r="W107" s="8">
        <v>17784</v>
      </c>
      <c r="X107" s="8">
        <v>24535</v>
      </c>
      <c r="Y107" s="8">
        <v>6835</v>
      </c>
      <c r="Z107" s="8">
        <v>15208</v>
      </c>
      <c r="AA107" s="8">
        <v>23743</v>
      </c>
      <c r="AB107" s="8">
        <v>32639</v>
      </c>
      <c r="AC107" s="8">
        <v>7819</v>
      </c>
      <c r="AD107" s="8">
        <v>14692</v>
      </c>
      <c r="AE107" s="8">
        <v>24076</v>
      </c>
      <c r="AF107" s="8">
        <v>31988</v>
      </c>
      <c r="AG107" s="8">
        <v>8059</v>
      </c>
      <c r="AH107" s="8">
        <v>19591</v>
      </c>
      <c r="AI107" s="8">
        <v>31122</v>
      </c>
      <c r="AJ107" s="8">
        <v>45495</v>
      </c>
      <c r="AK107" s="8">
        <v>7562</v>
      </c>
      <c r="AL107" s="8">
        <v>15418</v>
      </c>
      <c r="AM107" s="8">
        <v>24524</v>
      </c>
      <c r="AN107" s="8">
        <v>34230</v>
      </c>
      <c r="AO107" s="8">
        <v>8503</v>
      </c>
      <c r="AP107" s="8">
        <v>17138</v>
      </c>
      <c r="AQ107" s="8">
        <v>26446</v>
      </c>
      <c r="AR107" s="8">
        <v>34866</v>
      </c>
      <c r="AS107" s="8">
        <v>8580</v>
      </c>
      <c r="AT107" s="8">
        <v>21296</v>
      </c>
      <c r="AU107" s="8">
        <v>38451</v>
      </c>
      <c r="AV107" s="8">
        <v>48610</v>
      </c>
      <c r="AW107" s="8">
        <v>12107</v>
      </c>
      <c r="AX107" s="8">
        <v>26561</v>
      </c>
      <c r="AY107" s="126"/>
    </row>
    <row r="108" spans="2:55" x14ac:dyDescent="0.2">
      <c r="C108" s="9" t="s">
        <v>14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>
        <v>-577</v>
      </c>
      <c r="Q108" s="8">
        <v>-521</v>
      </c>
      <c r="R108" s="8">
        <v>-1146</v>
      </c>
      <c r="T108" s="8">
        <v>-2232</v>
      </c>
      <c r="U108" s="8"/>
      <c r="V108" s="8">
        <v>-1782</v>
      </c>
      <c r="W108" s="8">
        <v>-3196</v>
      </c>
      <c r="X108" s="8">
        <v>-4538</v>
      </c>
      <c r="Y108" s="8">
        <v>-1522</v>
      </c>
      <c r="Z108" s="8">
        <v>-3461</v>
      </c>
      <c r="AA108" s="8">
        <v>-5701</v>
      </c>
      <c r="AB108" s="8">
        <v>-7690</v>
      </c>
      <c r="AC108" s="8">
        <v>-1802</v>
      </c>
      <c r="AD108" s="8">
        <v>-3552</v>
      </c>
      <c r="AE108" s="8">
        <v>-5738</v>
      </c>
      <c r="AF108" s="8">
        <v>-8189</v>
      </c>
      <c r="AG108" s="8">
        <v>-2499</v>
      </c>
      <c r="AH108" s="8">
        <v>-4798</v>
      </c>
      <c r="AI108" s="8">
        <v>-6998</v>
      </c>
      <c r="AJ108" s="8">
        <v>-10012</v>
      </c>
      <c r="AK108" s="8">
        <v>-3473</v>
      </c>
      <c r="AL108" s="8">
        <v>-5180</v>
      </c>
      <c r="AM108" s="8">
        <v>-7127</v>
      </c>
      <c r="AN108" s="8">
        <v>-9420</v>
      </c>
      <c r="AO108" s="8">
        <v>-2204</v>
      </c>
      <c r="AP108" s="8">
        <v>-4691</v>
      </c>
      <c r="AQ108" s="8">
        <v>-6936</v>
      </c>
      <c r="AR108" s="8">
        <v>-8044</v>
      </c>
      <c r="AS108" s="8">
        <v>-3191</v>
      </c>
      <c r="AT108" s="8">
        <v>-5623</v>
      </c>
      <c r="AU108" s="8">
        <v>-13146</v>
      </c>
      <c r="AV108" s="8">
        <v>-9159</v>
      </c>
      <c r="AW108" s="8">
        <v>-3313</v>
      </c>
      <c r="AX108" s="8">
        <v>-6129</v>
      </c>
      <c r="AY108" s="135"/>
    </row>
    <row r="109" spans="2:55" s="6" customFormat="1" x14ac:dyDescent="0.2">
      <c r="B109" s="13"/>
      <c r="C109" s="13" t="s">
        <v>15</v>
      </c>
      <c r="D109" s="17">
        <v>102.60299999999999</v>
      </c>
      <c r="E109" s="17"/>
      <c r="F109" s="17">
        <v>469.96399999999994</v>
      </c>
      <c r="G109" s="17"/>
      <c r="H109" s="17">
        <v>4199.4620000000004</v>
      </c>
      <c r="I109" s="17"/>
      <c r="J109" s="17">
        <v>6261.5410000000002</v>
      </c>
      <c r="K109" s="17"/>
      <c r="L109" s="17">
        <v>7738.6229999999996</v>
      </c>
      <c r="M109" s="17"/>
      <c r="N109" s="17">
        <v>9349</v>
      </c>
      <c r="O109" s="17"/>
      <c r="P109" s="17">
        <f>SUM(P107:P108)</f>
        <v>9727</v>
      </c>
      <c r="Q109" s="17">
        <f>SUM(Q107:Q108)</f>
        <v>6023</v>
      </c>
      <c r="R109" s="17">
        <f>SUM(R107:R108)</f>
        <v>12775</v>
      </c>
      <c r="S109" s="8">
        <v>7551</v>
      </c>
      <c r="T109" s="17">
        <f>SUM(T107:T108)</f>
        <v>18050</v>
      </c>
      <c r="U109" s="17"/>
      <c r="V109" s="17">
        <f t="shared" ref="V109:AX109" si="68">SUM(V107:V108)</f>
        <v>9290</v>
      </c>
      <c r="W109" s="17">
        <f t="shared" si="68"/>
        <v>14588</v>
      </c>
      <c r="X109" s="17">
        <f t="shared" si="68"/>
        <v>19997</v>
      </c>
      <c r="Y109" s="17">
        <f t="shared" si="68"/>
        <v>5313</v>
      </c>
      <c r="Z109" s="17">
        <f t="shared" si="68"/>
        <v>11747</v>
      </c>
      <c r="AA109" s="17">
        <f t="shared" si="68"/>
        <v>18042</v>
      </c>
      <c r="AB109" s="17">
        <f t="shared" si="68"/>
        <v>24949</v>
      </c>
      <c r="AC109" s="17">
        <f t="shared" si="68"/>
        <v>6017</v>
      </c>
      <c r="AD109" s="17">
        <f t="shared" si="68"/>
        <v>11140</v>
      </c>
      <c r="AE109" s="17">
        <f t="shared" si="68"/>
        <v>18338</v>
      </c>
      <c r="AF109" s="17">
        <f t="shared" si="68"/>
        <v>23799</v>
      </c>
      <c r="AG109" s="17">
        <f t="shared" si="68"/>
        <v>5560</v>
      </c>
      <c r="AH109" s="17">
        <f t="shared" si="68"/>
        <v>14793</v>
      </c>
      <c r="AI109" s="17">
        <f t="shared" si="68"/>
        <v>24124</v>
      </c>
      <c r="AJ109" s="17">
        <f t="shared" si="68"/>
        <v>35483</v>
      </c>
      <c r="AK109" s="17">
        <f t="shared" si="68"/>
        <v>4089</v>
      </c>
      <c r="AL109" s="17">
        <f t="shared" si="68"/>
        <v>10238</v>
      </c>
      <c r="AM109" s="17">
        <f t="shared" si="68"/>
        <v>17397</v>
      </c>
      <c r="AN109" s="17">
        <f t="shared" si="68"/>
        <v>24810</v>
      </c>
      <c r="AO109" s="17">
        <f t="shared" si="68"/>
        <v>6299</v>
      </c>
      <c r="AP109" s="17">
        <f t="shared" si="68"/>
        <v>12447</v>
      </c>
      <c r="AQ109" s="17">
        <f t="shared" si="68"/>
        <v>19510</v>
      </c>
      <c r="AR109" s="17">
        <f t="shared" si="68"/>
        <v>26822</v>
      </c>
      <c r="AS109" s="17">
        <f t="shared" si="68"/>
        <v>5389</v>
      </c>
      <c r="AT109" s="17">
        <f t="shared" si="68"/>
        <v>15673</v>
      </c>
      <c r="AU109" s="17">
        <f t="shared" si="68"/>
        <v>25305</v>
      </c>
      <c r="AV109" s="17">
        <f t="shared" si="68"/>
        <v>39451</v>
      </c>
      <c r="AW109" s="17">
        <f t="shared" si="68"/>
        <v>8794</v>
      </c>
      <c r="AX109" s="17">
        <f t="shared" si="68"/>
        <v>20432</v>
      </c>
      <c r="AY109" s="126"/>
      <c r="BA109" s="15"/>
      <c r="BB109" s="15"/>
      <c r="BC109" s="15"/>
    </row>
    <row r="110" spans="2:55" x14ac:dyDescent="0.2">
      <c r="C110" s="9" t="s">
        <v>16</v>
      </c>
      <c r="D110" s="8">
        <v>2108.9</v>
      </c>
      <c r="E110" s="8"/>
      <c r="F110" s="8">
        <v>604.09100000000001</v>
      </c>
      <c r="G110" s="8"/>
      <c r="H110" s="8">
        <v>-47.530999999999999</v>
      </c>
      <c r="I110" s="8"/>
      <c r="J110" s="8">
        <v>186.14599999999999</v>
      </c>
      <c r="K110" s="8"/>
      <c r="L110" s="8">
        <v>16.506</v>
      </c>
      <c r="M110" s="8"/>
      <c r="N110" s="8">
        <v>-4870</v>
      </c>
      <c r="O110" s="8"/>
      <c r="P110" s="8">
        <v>16791</v>
      </c>
      <c r="Q110" s="8">
        <v>17871</v>
      </c>
      <c r="R110" s="8">
        <v>16039</v>
      </c>
      <c r="T110" s="8">
        <v>11567</v>
      </c>
      <c r="U110" s="8"/>
      <c r="V110" s="8">
        <v>-2506</v>
      </c>
      <c r="W110" s="8">
        <v>-4392</v>
      </c>
      <c r="X110" s="8">
        <v>-8588</v>
      </c>
      <c r="Y110" s="8">
        <v>9</v>
      </c>
      <c r="Z110" s="8">
        <v>1220</v>
      </c>
      <c r="AA110" s="8">
        <v>1575</v>
      </c>
      <c r="AB110" s="8">
        <v>4946</v>
      </c>
      <c r="AC110" s="8">
        <v>-30590</v>
      </c>
      <c r="AD110" s="8">
        <v>-8332</v>
      </c>
      <c r="AE110" s="8">
        <v>-12462</v>
      </c>
      <c r="AF110" s="8">
        <v>-5349</v>
      </c>
      <c r="AG110" s="8">
        <v>-5765</v>
      </c>
      <c r="AH110" s="8">
        <v>-5796</v>
      </c>
      <c r="AI110" s="8">
        <v>-6973</v>
      </c>
      <c r="AJ110" s="8">
        <v>-13055</v>
      </c>
      <c r="AK110" s="8">
        <v>-31923</v>
      </c>
      <c r="AL110" s="8">
        <v>-14894</v>
      </c>
      <c r="AM110" s="8">
        <v>-22179</v>
      </c>
      <c r="AN110" s="8">
        <v>-4144</v>
      </c>
      <c r="AO110" s="8">
        <v>11319</v>
      </c>
      <c r="AP110" s="8">
        <v>26407</v>
      </c>
      <c r="AQ110" s="8">
        <v>25011</v>
      </c>
      <c r="AR110" s="8">
        <v>31500</v>
      </c>
      <c r="AS110" s="8">
        <v>4863</v>
      </c>
      <c r="AT110" s="8">
        <v>5567</v>
      </c>
      <c r="AU110" s="8">
        <v>-3235</v>
      </c>
      <c r="AV110" s="8">
        <v>-4521</v>
      </c>
      <c r="AW110" s="8">
        <v>15426</v>
      </c>
      <c r="AX110" s="8">
        <v>23366</v>
      </c>
      <c r="AY110" s="126"/>
    </row>
    <row r="111" spans="2:55" x14ac:dyDescent="0.2">
      <c r="C111" s="9" t="s">
        <v>231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T111" s="8"/>
      <c r="U111" s="8"/>
      <c r="V111" s="8"/>
      <c r="W111" s="8"/>
      <c r="X111" s="8"/>
      <c r="Y111" s="8"/>
      <c r="Z111" s="8">
        <v>209</v>
      </c>
      <c r="AA111" s="8">
        <v>674</v>
      </c>
      <c r="AB111" s="8">
        <v>775</v>
      </c>
      <c r="AC111" s="8">
        <v>186</v>
      </c>
      <c r="AD111" s="8">
        <v>242</v>
      </c>
      <c r="AE111" s="8">
        <v>1086</v>
      </c>
      <c r="AF111" s="8">
        <v>4618</v>
      </c>
      <c r="AG111" s="8">
        <v>1285</v>
      </c>
      <c r="AH111" s="8">
        <v>1769</v>
      </c>
      <c r="AI111" s="8">
        <v>2230</v>
      </c>
      <c r="AJ111" s="8">
        <v>2980</v>
      </c>
      <c r="AK111" s="8">
        <v>9</v>
      </c>
      <c r="AL111" s="8">
        <v>-17</v>
      </c>
      <c r="AM111" s="8">
        <v>-6</v>
      </c>
      <c r="AN111" s="8">
        <v>-343</v>
      </c>
      <c r="AO111" s="8">
        <v>-96</v>
      </c>
      <c r="AP111" s="8">
        <v>-63</v>
      </c>
      <c r="AQ111" s="8">
        <v>-62</v>
      </c>
      <c r="AR111" s="8">
        <v>-60</v>
      </c>
      <c r="AS111" s="8">
        <v>0</v>
      </c>
      <c r="AT111" s="8">
        <v>0</v>
      </c>
      <c r="AU111" s="8">
        <v>0</v>
      </c>
      <c r="AV111" s="8">
        <v>-289</v>
      </c>
      <c r="AW111" s="8">
        <v>0</v>
      </c>
      <c r="AX111" s="8">
        <v>0</v>
      </c>
      <c r="AY111" s="20"/>
    </row>
    <row r="112" spans="2:55" x14ac:dyDescent="0.2">
      <c r="C112" s="9" t="s">
        <v>87</v>
      </c>
      <c r="D112" s="8">
        <v>-33.1</v>
      </c>
      <c r="E112" s="8"/>
      <c r="F112" s="8">
        <v>21.919</v>
      </c>
      <c r="G112" s="8"/>
      <c r="H112" s="8">
        <v>70.299000000000007</v>
      </c>
      <c r="I112" s="8"/>
      <c r="J112" s="8">
        <v>60.118000000000002</v>
      </c>
      <c r="K112" s="8"/>
      <c r="L112" s="8">
        <v>87.938000000000002</v>
      </c>
      <c r="M112" s="8"/>
      <c r="N112" s="8">
        <v>103</v>
      </c>
      <c r="O112" s="8"/>
      <c r="P112" s="8">
        <v>221</v>
      </c>
      <c r="Q112" s="8">
        <v>307</v>
      </c>
      <c r="R112" s="8">
        <v>466</v>
      </c>
      <c r="T112" s="8">
        <v>2670</v>
      </c>
      <c r="U112" s="8"/>
      <c r="V112" s="8">
        <v>651</v>
      </c>
      <c r="W112" s="8">
        <v>995</v>
      </c>
      <c r="X112" s="8">
        <v>770</v>
      </c>
      <c r="Y112" s="8">
        <v>579</v>
      </c>
      <c r="Z112" s="8">
        <v>997</v>
      </c>
      <c r="AA112" s="8">
        <v>1612</v>
      </c>
      <c r="AB112" s="8">
        <v>1892</v>
      </c>
      <c r="AC112" s="8">
        <v>7313</v>
      </c>
      <c r="AD112" s="8">
        <v>4151</v>
      </c>
      <c r="AE112" s="8">
        <v>9950</v>
      </c>
      <c r="AF112" s="8">
        <v>9602</v>
      </c>
      <c r="AG112" s="8">
        <v>2281</v>
      </c>
      <c r="AH112" s="8">
        <v>4645</v>
      </c>
      <c r="AI112" s="8">
        <v>6830</v>
      </c>
      <c r="AJ112" s="8">
        <v>9004</v>
      </c>
      <c r="AK112" s="8">
        <v>-11517</v>
      </c>
      <c r="AL112" s="8">
        <v>-58704</v>
      </c>
      <c r="AM112" s="8">
        <v>-46874</v>
      </c>
      <c r="AN112" s="8">
        <v>-29792</v>
      </c>
      <c r="AO112" s="8">
        <v>7774</v>
      </c>
      <c r="AP112" s="8">
        <v>19387</v>
      </c>
      <c r="AQ112" s="8">
        <v>28542</v>
      </c>
      <c r="AR112" s="8">
        <v>25051</v>
      </c>
      <c r="AS112" s="8">
        <v>3097</v>
      </c>
      <c r="AT112" s="8">
        <v>-955</v>
      </c>
      <c r="AU112" s="8">
        <v>9987</v>
      </c>
      <c r="AV112" s="8">
        <v>21495</v>
      </c>
      <c r="AW112" s="8">
        <v>-14899</v>
      </c>
      <c r="AX112" s="8">
        <v>-15670</v>
      </c>
      <c r="AY112" s="20"/>
    </row>
    <row r="113" spans="3:57" x14ac:dyDescent="0.2">
      <c r="C113" s="9" t="s">
        <v>155</v>
      </c>
      <c r="D113" s="8">
        <v>98.7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>
        <v>0</v>
      </c>
      <c r="T113" s="8">
        <v>1067</v>
      </c>
      <c r="U113" s="8"/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f>0</f>
        <v>0</v>
      </c>
      <c r="AU113" s="8">
        <v>0</v>
      </c>
      <c r="AV113" s="8">
        <v>0</v>
      </c>
      <c r="AW113" s="8">
        <v>0</v>
      </c>
      <c r="AX113" s="8">
        <v>0</v>
      </c>
    </row>
    <row r="114" spans="3:57" x14ac:dyDescent="0.2">
      <c r="C114" s="9" t="s">
        <v>174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T114" s="8"/>
      <c r="U114" s="8"/>
      <c r="V114" s="8">
        <v>586</v>
      </c>
      <c r="W114" s="8">
        <v>591</v>
      </c>
      <c r="X114" s="8">
        <v>657</v>
      </c>
      <c r="Y114" s="8">
        <v>0</v>
      </c>
      <c r="Z114" s="8">
        <v>0</v>
      </c>
      <c r="AA114" s="8">
        <v>0</v>
      </c>
      <c r="AB114" s="8">
        <v>-5</v>
      </c>
      <c r="AC114" s="8">
        <v>1</v>
      </c>
      <c r="AD114" s="8">
        <v>29</v>
      </c>
      <c r="AE114" s="8">
        <v>46</v>
      </c>
      <c r="AF114" s="8">
        <v>104</v>
      </c>
      <c r="AG114" s="8">
        <v>137</v>
      </c>
      <c r="AH114" s="8">
        <v>-295</v>
      </c>
      <c r="AI114" s="8">
        <v>-63</v>
      </c>
      <c r="AJ114" s="8">
        <v>-1313</v>
      </c>
      <c r="AK114" s="8">
        <v>-656</v>
      </c>
      <c r="AL114" s="8">
        <v>-601</v>
      </c>
      <c r="AM114" s="8">
        <v>-667</v>
      </c>
      <c r="AN114" s="8">
        <v>-733</v>
      </c>
      <c r="AO114" s="8">
        <v>-361</v>
      </c>
      <c r="AP114" s="8">
        <v>-5265</v>
      </c>
      <c r="AQ114" s="8">
        <v>-5565</v>
      </c>
      <c r="AR114" s="8">
        <v>-6324</v>
      </c>
      <c r="AS114" s="8">
        <v>-80</v>
      </c>
      <c r="AT114" s="8">
        <v>-87</v>
      </c>
      <c r="AU114" s="8">
        <v>-140</v>
      </c>
      <c r="AV114" s="8">
        <v>-144</v>
      </c>
      <c r="AW114" s="8">
        <v>66</v>
      </c>
      <c r="AX114" s="8">
        <v>-13</v>
      </c>
      <c r="AY114" s="19"/>
    </row>
    <row r="115" spans="3:57" x14ac:dyDescent="0.2">
      <c r="C115" s="9" t="s">
        <v>158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T115" s="8"/>
      <c r="U115" s="8"/>
      <c r="V115" s="8">
        <v>287</v>
      </c>
      <c r="W115" s="8">
        <v>287</v>
      </c>
      <c r="X115" s="8">
        <v>287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</row>
    <row r="116" spans="3:57" x14ac:dyDescent="0.2">
      <c r="C116" s="9" t="s">
        <v>484</v>
      </c>
      <c r="D116" s="8"/>
      <c r="E116" s="8"/>
      <c r="F116" s="8"/>
      <c r="G116" s="8"/>
      <c r="H116" s="8"/>
      <c r="I116" s="8"/>
      <c r="J116" s="8">
        <v>47.76</v>
      </c>
      <c r="K116" s="8"/>
      <c r="L116" s="8">
        <v>72.212000000000003</v>
      </c>
      <c r="M116" s="8"/>
      <c r="N116" s="8">
        <v>69</v>
      </c>
      <c r="O116" s="8"/>
      <c r="P116" s="8">
        <v>99</v>
      </c>
      <c r="Q116" s="8">
        <v>65</v>
      </c>
      <c r="R116" s="8">
        <v>145</v>
      </c>
      <c r="S116" s="9"/>
      <c r="T116" s="8">
        <v>126</v>
      </c>
      <c r="U116" s="8"/>
      <c r="V116" s="8">
        <v>117</v>
      </c>
      <c r="W116" s="8">
        <v>186</v>
      </c>
      <c r="X116" s="8">
        <v>258</v>
      </c>
      <c r="Y116" s="8">
        <v>33</v>
      </c>
      <c r="Z116" s="8">
        <v>126</v>
      </c>
      <c r="AA116" s="8">
        <v>225</v>
      </c>
      <c r="AB116" s="8">
        <v>256</v>
      </c>
      <c r="AC116" s="8">
        <v>1</v>
      </c>
      <c r="AD116" s="8">
        <v>6</v>
      </c>
      <c r="AE116" s="8">
        <v>5</v>
      </c>
      <c r="AF116" s="8">
        <v>5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0</v>
      </c>
    </row>
    <row r="117" spans="3:57" x14ac:dyDescent="0.2">
      <c r="C117" s="10" t="s">
        <v>224</v>
      </c>
      <c r="D117" s="8"/>
      <c r="E117" s="8"/>
      <c r="F117" s="8"/>
      <c r="G117" s="8"/>
      <c r="H117" s="8"/>
      <c r="I117" s="8"/>
      <c r="J117" s="8"/>
      <c r="K117" s="8"/>
      <c r="L117" s="8">
        <v>0</v>
      </c>
      <c r="M117" s="8"/>
      <c r="N117" s="8">
        <v>2507</v>
      </c>
      <c r="O117" s="8"/>
      <c r="P117" s="8">
        <v>0</v>
      </c>
      <c r="Q117" s="8">
        <v>1647</v>
      </c>
      <c r="R117" s="8">
        <v>2321</v>
      </c>
      <c r="S117" s="20"/>
      <c r="T117" s="8">
        <v>0</v>
      </c>
      <c r="U117" s="8"/>
      <c r="V117" s="8">
        <v>3186</v>
      </c>
      <c r="W117" s="8">
        <v>3186</v>
      </c>
      <c r="X117" s="8">
        <v>3186</v>
      </c>
      <c r="Y117" s="8"/>
      <c r="Z117" s="8"/>
      <c r="AA117" s="8"/>
      <c r="AB117" s="8"/>
      <c r="AC117" s="8">
        <v>432</v>
      </c>
      <c r="AD117" s="8">
        <v>432</v>
      </c>
      <c r="AE117" s="8">
        <v>432</v>
      </c>
      <c r="AF117" s="8">
        <v>582</v>
      </c>
      <c r="AG117" s="8">
        <v>629</v>
      </c>
      <c r="AH117" s="8">
        <v>2585</v>
      </c>
      <c r="AI117" s="8">
        <v>2585</v>
      </c>
      <c r="AJ117" s="8">
        <v>2585</v>
      </c>
      <c r="AK117" s="8">
        <v>240</v>
      </c>
      <c r="AL117" s="8">
        <v>240</v>
      </c>
      <c r="AM117" s="8">
        <v>240</v>
      </c>
      <c r="AN117" s="8">
        <v>240</v>
      </c>
      <c r="AO117" s="8">
        <v>0</v>
      </c>
      <c r="AP117" s="8">
        <v>0</v>
      </c>
      <c r="AQ117" s="8">
        <v>0</v>
      </c>
      <c r="AR117" s="8">
        <v>0</v>
      </c>
      <c r="AS117" s="8">
        <v>14612</v>
      </c>
      <c r="AT117" s="8">
        <v>15343</v>
      </c>
      <c r="AU117" s="8">
        <v>18527</v>
      </c>
      <c r="AV117" s="8">
        <v>18342</v>
      </c>
      <c r="AW117" s="8">
        <v>5664</v>
      </c>
      <c r="AX117" s="8">
        <v>5767</v>
      </c>
      <c r="AY117" s="19"/>
    </row>
    <row r="118" spans="3:57" hidden="1" x14ac:dyDescent="0.2">
      <c r="C118" s="151" t="s">
        <v>159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20"/>
      <c r="T118" s="8">
        <v>0</v>
      </c>
      <c r="U118" s="8"/>
      <c r="V118" s="8">
        <v>0</v>
      </c>
      <c r="W118" s="8">
        <v>1332</v>
      </c>
      <c r="X118" s="16">
        <v>0</v>
      </c>
      <c r="Y118" s="16">
        <v>0</v>
      </c>
      <c r="Z118" s="8"/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8"/>
      <c r="AX118" s="8"/>
      <c r="AZ118" s="4" t="s">
        <v>298</v>
      </c>
    </row>
    <row r="119" spans="3:57" x14ac:dyDescent="0.2">
      <c r="C119" s="10" t="s">
        <v>225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>
        <v>0</v>
      </c>
      <c r="Q119" s="8">
        <v>2184</v>
      </c>
      <c r="R119" s="8">
        <v>2306</v>
      </c>
      <c r="S119" s="9"/>
      <c r="T119" s="8"/>
      <c r="U119" s="8"/>
      <c r="V119" s="8"/>
      <c r="W119" s="8"/>
      <c r="X119" s="8"/>
      <c r="Y119" s="8"/>
      <c r="Z119" s="8"/>
      <c r="AA119" s="8"/>
      <c r="AB119" s="8">
        <v>488</v>
      </c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>
        <v>4653</v>
      </c>
      <c r="AU119" s="8">
        <v>4653</v>
      </c>
      <c r="AV119" s="8">
        <v>4698</v>
      </c>
      <c r="AW119" s="8">
        <v>2936</v>
      </c>
      <c r="AX119" s="8">
        <v>2936</v>
      </c>
    </row>
    <row r="120" spans="3:57" x14ac:dyDescent="0.2">
      <c r="C120" s="10" t="s">
        <v>276</v>
      </c>
      <c r="D120" s="8"/>
      <c r="E120" s="8"/>
      <c r="F120" s="8">
        <v>0</v>
      </c>
      <c r="G120" s="8"/>
      <c r="H120" s="8">
        <v>88.402000000000001</v>
      </c>
      <c r="I120" s="8"/>
      <c r="J120" s="8">
        <v>70.155000000000001</v>
      </c>
      <c r="K120" s="8"/>
      <c r="L120" s="8">
        <v>67.010999999999996</v>
      </c>
      <c r="M120" s="8"/>
      <c r="N120" s="8">
        <v>10</v>
      </c>
      <c r="O120" s="8"/>
      <c r="P120" s="8">
        <v>46</v>
      </c>
      <c r="Q120" s="8">
        <v>21</v>
      </c>
      <c r="R120" s="8">
        <v>128</v>
      </c>
      <c r="S120" s="9"/>
      <c r="T120" s="8">
        <v>176</v>
      </c>
      <c r="U120" s="8"/>
      <c r="V120" s="8">
        <v>52</v>
      </c>
      <c r="W120" s="8">
        <v>74</v>
      </c>
      <c r="X120" s="8">
        <v>108</v>
      </c>
      <c r="Y120" s="8"/>
      <c r="Z120" s="8">
        <v>187</v>
      </c>
      <c r="AA120" s="8">
        <v>182</v>
      </c>
      <c r="AB120" s="8">
        <v>264</v>
      </c>
      <c r="AC120" s="8">
        <v>83</v>
      </c>
      <c r="AD120" s="8">
        <v>139</v>
      </c>
      <c r="AE120" s="8">
        <v>208</v>
      </c>
      <c r="AF120" s="8">
        <v>349</v>
      </c>
      <c r="AG120" s="8">
        <v>259</v>
      </c>
      <c r="AH120" s="8">
        <v>358</v>
      </c>
      <c r="AI120" s="8">
        <v>521</v>
      </c>
      <c r="AJ120" s="8">
        <v>844</v>
      </c>
      <c r="AK120" s="8">
        <v>179</v>
      </c>
      <c r="AL120" s="8">
        <v>272</v>
      </c>
      <c r="AM120" s="8">
        <v>385</v>
      </c>
      <c r="AN120" s="8">
        <v>545</v>
      </c>
      <c r="AO120" s="8">
        <v>156</v>
      </c>
      <c r="AP120" s="8">
        <v>356</v>
      </c>
      <c r="AQ120" s="8">
        <v>556</v>
      </c>
      <c r="AR120" s="8">
        <v>827</v>
      </c>
      <c r="AS120" s="8">
        <v>124</v>
      </c>
      <c r="AT120" s="8">
        <v>319</v>
      </c>
      <c r="AU120" s="8">
        <v>546</v>
      </c>
      <c r="AV120" s="8">
        <v>749</v>
      </c>
      <c r="AW120" s="8">
        <v>77</v>
      </c>
      <c r="AX120" s="8">
        <v>244</v>
      </c>
      <c r="AZ120" s="4" t="s">
        <v>445</v>
      </c>
    </row>
    <row r="121" spans="3:57" x14ac:dyDescent="0.2">
      <c r="C121" s="27" t="s">
        <v>88</v>
      </c>
      <c r="D121" s="8"/>
      <c r="E121" s="8"/>
      <c r="F121" s="8">
        <v>0.39700000000000002</v>
      </c>
      <c r="G121" s="8"/>
      <c r="H121" s="8">
        <v>0.57899999999999996</v>
      </c>
      <c r="I121" s="8"/>
      <c r="J121" s="8">
        <v>0.83199999999999996</v>
      </c>
      <c r="K121" s="8"/>
      <c r="L121" s="8">
        <v>0.94899999999999995</v>
      </c>
      <c r="M121" s="8"/>
      <c r="N121" s="8">
        <v>3</v>
      </c>
      <c r="O121" s="8"/>
      <c r="P121" s="8">
        <v>57</v>
      </c>
      <c r="Q121" s="8">
        <v>60</v>
      </c>
      <c r="R121" s="8">
        <v>95</v>
      </c>
      <c r="S121" s="9"/>
      <c r="T121" s="8">
        <v>6</v>
      </c>
      <c r="U121" s="8"/>
      <c r="V121" s="8"/>
      <c r="W121" s="8"/>
      <c r="X121" s="8"/>
      <c r="Y121" s="8"/>
      <c r="Z121" s="8"/>
      <c r="AA121" s="8">
        <v>61.334000000000003</v>
      </c>
      <c r="AB121" s="8">
        <v>80</v>
      </c>
      <c r="AC121" s="8"/>
      <c r="AD121" s="8"/>
      <c r="AE121" s="8">
        <v>39</v>
      </c>
      <c r="AF121" s="8">
        <v>51</v>
      </c>
      <c r="AG121" s="8">
        <v>12</v>
      </c>
      <c r="AH121" s="8">
        <v>45</v>
      </c>
      <c r="AI121" s="8">
        <v>59</v>
      </c>
      <c r="AJ121" s="8">
        <v>88</v>
      </c>
      <c r="AK121" s="8">
        <v>16</v>
      </c>
      <c r="AL121" s="8">
        <v>38</v>
      </c>
      <c r="AM121" s="8">
        <v>73</v>
      </c>
      <c r="AN121" s="8">
        <v>87</v>
      </c>
      <c r="AO121" s="8">
        <v>17</v>
      </c>
      <c r="AP121" s="8">
        <v>48</v>
      </c>
      <c r="AQ121" s="8">
        <v>80</v>
      </c>
      <c r="AR121" s="8">
        <v>119</v>
      </c>
      <c r="AS121" s="8">
        <v>32</v>
      </c>
      <c r="AT121" s="8">
        <v>370</v>
      </c>
      <c r="AU121" s="8">
        <v>984</v>
      </c>
      <c r="AV121" s="8">
        <v>842</v>
      </c>
      <c r="AW121" s="8">
        <v>121</v>
      </c>
      <c r="AX121" s="8">
        <v>356</v>
      </c>
    </row>
    <row r="122" spans="3:57" x14ac:dyDescent="0.2">
      <c r="C122" s="27" t="s">
        <v>89</v>
      </c>
      <c r="D122" s="8"/>
      <c r="E122" s="8"/>
      <c r="F122" s="8">
        <v>0.89</v>
      </c>
      <c r="G122" s="8"/>
      <c r="H122" s="8">
        <v>2.0960000000000001</v>
      </c>
      <c r="I122" s="8"/>
      <c r="J122" s="8">
        <v>2.2000000000000002</v>
      </c>
      <c r="K122" s="8"/>
      <c r="L122" s="8">
        <v>1.163</v>
      </c>
      <c r="M122" s="8"/>
      <c r="N122" s="8">
        <v>100</v>
      </c>
      <c r="O122" s="8"/>
      <c r="P122" s="8">
        <v>42</v>
      </c>
      <c r="Q122" s="8">
        <v>14</v>
      </c>
      <c r="R122" s="8">
        <v>54</v>
      </c>
      <c r="S122" s="9"/>
      <c r="T122" s="8">
        <v>2</v>
      </c>
      <c r="U122" s="8"/>
      <c r="V122" s="8">
        <v>104</v>
      </c>
      <c r="W122" s="8">
        <v>11</v>
      </c>
      <c r="X122" s="8"/>
      <c r="Y122" s="8"/>
      <c r="Z122" s="8"/>
      <c r="AA122" s="8">
        <v>34.514000000000003</v>
      </c>
      <c r="AB122" s="8">
        <v>148</v>
      </c>
      <c r="AC122" s="8"/>
      <c r="AD122" s="8"/>
      <c r="AE122" s="8"/>
      <c r="AF122" s="8">
        <v>0</v>
      </c>
      <c r="AG122" s="8"/>
      <c r="AH122" s="8"/>
      <c r="AI122" s="8"/>
      <c r="AJ122" s="8">
        <v>111</v>
      </c>
      <c r="AK122" s="8">
        <v>90</v>
      </c>
      <c r="AL122" s="8">
        <v>125</v>
      </c>
      <c r="AM122" s="8">
        <v>348</v>
      </c>
      <c r="AN122" s="8">
        <v>428</v>
      </c>
      <c r="AO122" s="8">
        <v>211</v>
      </c>
      <c r="AP122" s="8">
        <v>293</v>
      </c>
      <c r="AQ122" s="8">
        <v>2507</v>
      </c>
      <c r="AR122" s="8">
        <v>2226</v>
      </c>
      <c r="AS122" s="8">
        <v>3</v>
      </c>
      <c r="AT122" s="8">
        <v>13</v>
      </c>
      <c r="AU122" s="8">
        <v>74</v>
      </c>
      <c r="AV122" s="8">
        <v>196</v>
      </c>
      <c r="AW122" s="8">
        <v>0</v>
      </c>
      <c r="AX122" s="8">
        <v>44</v>
      </c>
    </row>
    <row r="123" spans="3:57" x14ac:dyDescent="0.2">
      <c r="C123" s="27" t="s">
        <v>163</v>
      </c>
      <c r="O123" s="8"/>
      <c r="P123" s="8"/>
      <c r="Q123" s="8"/>
      <c r="R123" s="8">
        <v>0</v>
      </c>
      <c r="S123" s="9"/>
      <c r="T123" s="8">
        <v>106</v>
      </c>
      <c r="U123" s="8"/>
      <c r="V123" s="8"/>
      <c r="W123" s="8"/>
      <c r="X123" s="8">
        <v>0</v>
      </c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>
        <v>2260</v>
      </c>
      <c r="AT123" s="8">
        <v>2260</v>
      </c>
      <c r="AU123" s="8">
        <v>2260</v>
      </c>
      <c r="AV123" s="8">
        <v>4676</v>
      </c>
      <c r="AW123" s="8">
        <v>28</v>
      </c>
      <c r="AX123" s="8">
        <v>239</v>
      </c>
    </row>
    <row r="124" spans="3:57" x14ac:dyDescent="0.2">
      <c r="C124" s="27" t="s">
        <v>90</v>
      </c>
      <c r="D124" s="8"/>
      <c r="E124" s="8"/>
      <c r="F124" s="8">
        <v>2.423</v>
      </c>
      <c r="G124" s="8"/>
      <c r="H124" s="8">
        <v>13.412000000000001</v>
      </c>
      <c r="I124" s="8"/>
      <c r="J124" s="8">
        <v>5.4960000000000004</v>
      </c>
      <c r="K124" s="8"/>
      <c r="L124" s="8">
        <v>10.233000000000001</v>
      </c>
      <c r="M124" s="8"/>
      <c r="N124" s="8">
        <v>4</v>
      </c>
      <c r="O124" s="8"/>
      <c r="P124" s="8">
        <v>10</v>
      </c>
      <c r="Q124" s="8">
        <v>6</v>
      </c>
      <c r="R124" s="8">
        <v>14</v>
      </c>
      <c r="S124" s="9"/>
      <c r="T124" s="8">
        <v>29</v>
      </c>
      <c r="U124" s="8"/>
      <c r="V124" s="8">
        <v>16</v>
      </c>
      <c r="W124" s="8">
        <v>25</v>
      </c>
      <c r="X124" s="8">
        <v>35</v>
      </c>
      <c r="Y124" s="8"/>
      <c r="Z124" s="8">
        <v>18</v>
      </c>
      <c r="AA124" s="8">
        <v>27</v>
      </c>
      <c r="AB124" s="8">
        <v>37</v>
      </c>
      <c r="AC124" s="8">
        <v>13</v>
      </c>
      <c r="AD124" s="8">
        <v>32</v>
      </c>
      <c r="AE124" s="8">
        <v>48</v>
      </c>
      <c r="AF124" s="8">
        <v>63</v>
      </c>
      <c r="AG124" s="8">
        <v>17</v>
      </c>
      <c r="AH124" s="8">
        <v>60</v>
      </c>
      <c r="AI124" s="8">
        <v>131</v>
      </c>
      <c r="AJ124" s="8">
        <v>218</v>
      </c>
      <c r="AK124" s="8">
        <v>40</v>
      </c>
      <c r="AL124" s="8">
        <v>89</v>
      </c>
      <c r="AM124" s="8">
        <v>123</v>
      </c>
      <c r="AN124" s="8">
        <v>159</v>
      </c>
      <c r="AO124" s="8">
        <v>35</v>
      </c>
      <c r="AP124" s="8">
        <v>77</v>
      </c>
      <c r="AQ124" s="8">
        <v>118</v>
      </c>
      <c r="AR124" s="8">
        <v>163</v>
      </c>
      <c r="AS124" s="8">
        <v>39</v>
      </c>
      <c r="AT124" s="8">
        <v>45</v>
      </c>
      <c r="AU124" s="8">
        <v>41</v>
      </c>
      <c r="AV124" s="8">
        <v>142</v>
      </c>
      <c r="AW124" s="8">
        <v>45</v>
      </c>
      <c r="AX124" s="8">
        <v>163</v>
      </c>
      <c r="AZ124" s="4" t="s">
        <v>445</v>
      </c>
    </row>
    <row r="125" spans="3:57" x14ac:dyDescent="0.2">
      <c r="C125" s="27" t="s">
        <v>91</v>
      </c>
      <c r="D125" s="8"/>
      <c r="E125" s="8"/>
      <c r="F125" s="8">
        <v>5.0990000000000002</v>
      </c>
      <c r="G125" s="8"/>
      <c r="H125" s="8">
        <v>5.9050000000000002</v>
      </c>
      <c r="I125" s="8"/>
      <c r="J125" s="8">
        <v>4.7729999999999997</v>
      </c>
      <c r="K125" s="8"/>
      <c r="L125" s="8">
        <v>4.4249999999999998</v>
      </c>
      <c r="M125" s="8"/>
      <c r="N125" s="8">
        <v>24</v>
      </c>
      <c r="O125" s="8"/>
      <c r="P125" s="8"/>
      <c r="Q125" s="8">
        <v>0</v>
      </c>
      <c r="R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</row>
    <row r="126" spans="3:57" x14ac:dyDescent="0.2">
      <c r="C126" s="27" t="s">
        <v>450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T126" s="8"/>
      <c r="U126" s="8"/>
      <c r="V126" s="8"/>
      <c r="W126" s="8"/>
      <c r="X126" s="8"/>
      <c r="Y126" s="8"/>
      <c r="Z126" s="8"/>
      <c r="AA126" s="8"/>
      <c r="AB126" s="8">
        <v>86</v>
      </c>
      <c r="AC126" s="8"/>
      <c r="AD126" s="8"/>
      <c r="AE126" s="8"/>
      <c r="AF126" s="8">
        <v>53</v>
      </c>
      <c r="AG126" s="8"/>
      <c r="AH126" s="8"/>
      <c r="AI126" s="8"/>
      <c r="AJ126" s="8">
        <v>386</v>
      </c>
      <c r="AK126" s="8"/>
      <c r="AL126" s="8">
        <v>0</v>
      </c>
      <c r="AM126" s="8"/>
      <c r="AN126" s="8">
        <v>83</v>
      </c>
      <c r="AO126" s="8"/>
      <c r="AP126" s="8">
        <v>58</v>
      </c>
      <c r="AQ126" s="8">
        <v>77</v>
      </c>
      <c r="AR126" s="8">
        <v>175</v>
      </c>
      <c r="AS126" s="8">
        <v>10</v>
      </c>
      <c r="AT126" s="8">
        <v>0</v>
      </c>
      <c r="AU126" s="8">
        <v>0</v>
      </c>
      <c r="AV126" s="8">
        <v>0</v>
      </c>
      <c r="AW126" s="8">
        <v>0</v>
      </c>
      <c r="AX126" s="8">
        <v>0</v>
      </c>
      <c r="AZ126" s="4" t="s">
        <v>445</v>
      </c>
    </row>
    <row r="127" spans="3:57" x14ac:dyDescent="0.2">
      <c r="C127" s="27" t="s">
        <v>449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T127" s="8"/>
      <c r="U127" s="8"/>
      <c r="V127" s="8"/>
      <c r="W127" s="8"/>
      <c r="X127" s="8"/>
      <c r="Y127" s="8"/>
      <c r="Z127" s="8"/>
      <c r="AA127" s="8"/>
      <c r="AB127" s="8">
        <v>0</v>
      </c>
      <c r="AC127" s="8"/>
      <c r="AD127" s="8"/>
      <c r="AE127" s="8"/>
      <c r="AF127" s="8">
        <v>0</v>
      </c>
      <c r="AG127" s="8"/>
      <c r="AH127" s="8"/>
      <c r="AI127" s="8"/>
      <c r="AJ127" s="8">
        <v>151</v>
      </c>
      <c r="AK127" s="8"/>
      <c r="AL127" s="8">
        <v>32</v>
      </c>
      <c r="AM127" s="8"/>
      <c r="AN127" s="8">
        <v>58</v>
      </c>
      <c r="AO127" s="8"/>
      <c r="AP127" s="8">
        <v>35</v>
      </c>
      <c r="AQ127" s="8">
        <v>60</v>
      </c>
      <c r="AR127" s="8">
        <v>84</v>
      </c>
      <c r="AS127" s="8">
        <v>18</v>
      </c>
      <c r="AT127" s="8">
        <v>28</v>
      </c>
      <c r="AU127" s="8">
        <v>89</v>
      </c>
      <c r="AV127" s="8">
        <v>42</v>
      </c>
      <c r="AW127" s="8">
        <v>0</v>
      </c>
      <c r="AX127" s="8">
        <v>0</v>
      </c>
      <c r="AZ127" s="4" t="s">
        <v>445</v>
      </c>
    </row>
    <row r="128" spans="3:57" x14ac:dyDescent="0.2">
      <c r="C128" s="27" t="s">
        <v>92</v>
      </c>
      <c r="D128" s="8"/>
      <c r="E128" s="8"/>
      <c r="F128" s="8">
        <v>0</v>
      </c>
      <c r="G128" s="8"/>
      <c r="H128" s="8">
        <v>0</v>
      </c>
      <c r="I128" s="8"/>
      <c r="J128" s="8">
        <v>0</v>
      </c>
      <c r="K128" s="8"/>
      <c r="L128" s="8">
        <v>0</v>
      </c>
      <c r="M128" s="8"/>
      <c r="N128" s="8">
        <v>0</v>
      </c>
      <c r="O128" s="8"/>
      <c r="P128" s="8">
        <v>0</v>
      </c>
      <c r="Q128" s="8">
        <v>0</v>
      </c>
      <c r="R128" s="8">
        <v>0</v>
      </c>
      <c r="T128" s="8">
        <v>1089</v>
      </c>
      <c r="U128" s="8"/>
      <c r="V128" s="8">
        <v>0</v>
      </c>
      <c r="W128" s="8">
        <v>0</v>
      </c>
      <c r="X128" s="8">
        <v>0</v>
      </c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BA128" s="9"/>
      <c r="BB128" s="9"/>
      <c r="BC128" s="9"/>
      <c r="BD128" s="9"/>
      <c r="BE128" s="9"/>
    </row>
    <row r="129" spans="1:58" x14ac:dyDescent="0.2">
      <c r="C129" s="27" t="s">
        <v>33</v>
      </c>
      <c r="D129" s="8">
        <v>109</v>
      </c>
      <c r="E129" s="8"/>
      <c r="F129" s="8">
        <v>5.2329999999999997</v>
      </c>
      <c r="G129" s="8"/>
      <c r="H129" s="8">
        <v>12.153</v>
      </c>
      <c r="I129" s="8"/>
      <c r="J129" s="8">
        <v>4.8</v>
      </c>
      <c r="K129" s="8"/>
      <c r="L129" s="8">
        <v>12.657999999999999</v>
      </c>
      <c r="M129" s="8"/>
      <c r="N129" s="8">
        <v>11</v>
      </c>
      <c r="O129" s="8"/>
      <c r="P129" s="8">
        <v>95</v>
      </c>
      <c r="Q129" s="8">
        <f>48</f>
        <v>48</v>
      </c>
      <c r="R129" s="8">
        <v>222</v>
      </c>
      <c r="T129" s="8">
        <v>317</v>
      </c>
      <c r="U129" s="8"/>
      <c r="V129" s="8">
        <v>84</v>
      </c>
      <c r="W129" s="8">
        <v>117</v>
      </c>
      <c r="X129" s="8">
        <v>235</v>
      </c>
      <c r="Y129" s="8">
        <v>213</v>
      </c>
      <c r="Z129" s="8">
        <f>551-Z120-Z124</f>
        <v>346</v>
      </c>
      <c r="AA129" s="8">
        <v>321.1520000000001</v>
      </c>
      <c r="AB129" s="8">
        <f>369-AB126-AB127</f>
        <v>283</v>
      </c>
      <c r="AC129" s="8">
        <v>109</v>
      </c>
      <c r="AD129" s="8">
        <v>159</v>
      </c>
      <c r="AE129" s="8">
        <v>249</v>
      </c>
      <c r="AF129" s="8">
        <f>359-AF126-AF127</f>
        <v>306</v>
      </c>
      <c r="AG129" s="8">
        <v>186</v>
      </c>
      <c r="AH129" s="8">
        <v>903</v>
      </c>
      <c r="AI129" s="8">
        <v>1072</v>
      </c>
      <c r="AJ129" s="8">
        <f>2251-AJ126-AJ127</f>
        <v>1714</v>
      </c>
      <c r="AK129" s="8">
        <v>158</v>
      </c>
      <c r="AL129" s="8">
        <v>-1313</v>
      </c>
      <c r="AM129" s="8">
        <v>-713</v>
      </c>
      <c r="AN129" s="8">
        <v>-1273</v>
      </c>
      <c r="AO129" s="8">
        <v>453</v>
      </c>
      <c r="AP129" s="8">
        <v>675</v>
      </c>
      <c r="AQ129" s="8">
        <v>1156</v>
      </c>
      <c r="AR129" s="8">
        <v>1281</v>
      </c>
      <c r="AS129" s="8">
        <v>657</v>
      </c>
      <c r="AT129" s="8">
        <v>1099</v>
      </c>
      <c r="AU129" s="8">
        <v>1643</v>
      </c>
      <c r="AV129" s="8">
        <v>1900</v>
      </c>
      <c r="AW129" s="8">
        <v>22</v>
      </c>
      <c r="AX129" s="8">
        <v>1295</v>
      </c>
      <c r="BA129" s="20"/>
      <c r="BB129" s="20"/>
      <c r="BC129" s="20"/>
      <c r="BD129" s="20"/>
      <c r="BE129" s="20"/>
    </row>
    <row r="130" spans="1:58" s="6" customFormat="1" x14ac:dyDescent="0.2">
      <c r="B130" s="13"/>
      <c r="C130" s="13" t="s">
        <v>93</v>
      </c>
      <c r="D130" s="17">
        <f>D99+SUM(D109:D129)</f>
        <v>5789.1030000000001</v>
      </c>
      <c r="E130" s="17"/>
      <c r="F130" s="17">
        <f>F99+SUM(F109:F129)</f>
        <v>6093.3429999999989</v>
      </c>
      <c r="G130" s="17"/>
      <c r="H130" s="17">
        <f>H99+SUM(H109:H129)</f>
        <v>9937.6790000000001</v>
      </c>
      <c r="I130" s="17"/>
      <c r="J130" s="17">
        <f>J99+SUM(J109:J129)</f>
        <v>13839.665000000001</v>
      </c>
      <c r="K130" s="17"/>
      <c r="L130" s="17">
        <f>L99+SUM(L109:L129)</f>
        <v>18470.776000000002</v>
      </c>
      <c r="M130" s="17"/>
      <c r="N130" s="17">
        <f>N99+SUM(N109:N129)</f>
        <v>24543</v>
      </c>
      <c r="O130" s="17"/>
      <c r="P130" s="17">
        <f>P99+SUM(P109:P129)</f>
        <v>44965</v>
      </c>
      <c r="Q130" s="17">
        <f>Q99+SUM(Q109:Q129)</f>
        <v>41187</v>
      </c>
      <c r="R130" s="17">
        <f>R99+SUM(R109:R129)</f>
        <v>62310</v>
      </c>
      <c r="S130" s="24"/>
      <c r="T130" s="17">
        <f>T99+SUM(T109:T129)</f>
        <v>68183</v>
      </c>
      <c r="U130" s="17"/>
      <c r="V130" s="17">
        <f t="shared" ref="V130:AH130" si="69">V99+SUM(V109:V129)</f>
        <v>33258</v>
      </c>
      <c r="W130" s="17">
        <f t="shared" si="69"/>
        <v>50977</v>
      </c>
      <c r="X130" s="17">
        <f>X99+SUM(X109:X129)</f>
        <v>64424</v>
      </c>
      <c r="Y130" s="17">
        <f t="shared" si="69"/>
        <v>19248</v>
      </c>
      <c r="Z130" s="17">
        <f t="shared" si="69"/>
        <v>40998</v>
      </c>
      <c r="AA130" s="17">
        <f t="shared" si="69"/>
        <v>62964</v>
      </c>
      <c r="AB130" s="17">
        <f t="shared" si="69"/>
        <v>89269</v>
      </c>
      <c r="AC130" s="17">
        <f t="shared" si="69"/>
        <v>1442</v>
      </c>
      <c r="AD130" s="17">
        <f t="shared" si="69"/>
        <v>45116</v>
      </c>
      <c r="AE130" s="17">
        <f>AE99+SUM(AE109:AE129)</f>
        <v>76841</v>
      </c>
      <c r="AF130" s="17">
        <f t="shared" si="69"/>
        <v>113995</v>
      </c>
      <c r="AG130" s="17">
        <f t="shared" si="69"/>
        <v>26420</v>
      </c>
      <c r="AH130" s="17">
        <f t="shared" si="69"/>
        <v>70717</v>
      </c>
      <c r="AI130" s="17">
        <f t="shared" ref="AI130:AX130" si="70">AI99+SUM(AI109:AI129)</f>
        <v>113467</v>
      </c>
      <c r="AJ130" s="17">
        <f t="shared" si="70"/>
        <v>155289</v>
      </c>
      <c r="AK130" s="17">
        <f t="shared" si="70"/>
        <v>-11658</v>
      </c>
      <c r="AL130" s="17">
        <f t="shared" si="70"/>
        <v>-23903</v>
      </c>
      <c r="AM130" s="17">
        <f t="shared" si="70"/>
        <v>17822</v>
      </c>
      <c r="AN130" s="17">
        <f t="shared" si="70"/>
        <v>93153</v>
      </c>
      <c r="AO130" s="17">
        <f t="shared" si="70"/>
        <v>57714</v>
      </c>
      <c r="AP130" s="17">
        <f t="shared" si="70"/>
        <v>121286</v>
      </c>
      <c r="AQ130" s="17">
        <f t="shared" si="70"/>
        <v>175799</v>
      </c>
      <c r="AR130" s="17">
        <f t="shared" si="70"/>
        <v>220726</v>
      </c>
      <c r="AS130" s="17">
        <f t="shared" si="70"/>
        <v>66578</v>
      </c>
      <c r="AT130" s="17">
        <f t="shared" si="70"/>
        <v>122310</v>
      </c>
      <c r="AU130" s="17">
        <f t="shared" si="70"/>
        <v>178650</v>
      </c>
      <c r="AV130" s="17">
        <f t="shared" si="70"/>
        <v>245640</v>
      </c>
      <c r="AW130" s="17">
        <f t="shared" si="70"/>
        <v>53168</v>
      </c>
      <c r="AX130" s="17">
        <f t="shared" si="70"/>
        <v>112352</v>
      </c>
      <c r="AY130" s="243"/>
      <c r="AZ130" s="66"/>
      <c r="BA130" s="148"/>
      <c r="BB130" s="148"/>
      <c r="BC130" s="148"/>
      <c r="BD130" s="148"/>
      <c r="BE130" s="148"/>
    </row>
    <row r="131" spans="1:58" x14ac:dyDescent="0.2">
      <c r="C131" s="9" t="s">
        <v>94</v>
      </c>
      <c r="D131" s="8">
        <v>-1437</v>
      </c>
      <c r="E131" s="8"/>
      <c r="F131" s="8">
        <v>-1533.2470000000001</v>
      </c>
      <c r="G131" s="8"/>
      <c r="H131" s="8">
        <v>-2022.759</v>
      </c>
      <c r="I131" s="8"/>
      <c r="J131" s="8">
        <v>-2705.0250000000001</v>
      </c>
      <c r="K131" s="8"/>
      <c r="L131" s="8">
        <v>-3520.6550000000002</v>
      </c>
      <c r="M131" s="8"/>
      <c r="N131" s="8">
        <v>-5878</v>
      </c>
      <c r="O131" s="8"/>
      <c r="P131" s="8">
        <v>-5567</v>
      </c>
      <c r="Q131" s="8">
        <v>-4116</v>
      </c>
      <c r="R131" s="8">
        <v>-7955</v>
      </c>
      <c r="T131" s="8">
        <v>-13397</v>
      </c>
      <c r="U131" s="8"/>
      <c r="V131" s="8">
        <v>-9066</v>
      </c>
      <c r="W131" s="8">
        <v>-14182</v>
      </c>
      <c r="X131" s="8">
        <v>-19554</v>
      </c>
      <c r="Y131" s="8">
        <v>-5764</v>
      </c>
      <c r="Z131" s="8">
        <v>-11483</v>
      </c>
      <c r="AA131" s="8">
        <v>-16875</v>
      </c>
      <c r="AB131" s="8">
        <v>-23240</v>
      </c>
      <c r="AC131" s="8">
        <v>-5809</v>
      </c>
      <c r="AD131" s="8">
        <v>-12531</v>
      </c>
      <c r="AE131" s="8">
        <v>-18800</v>
      </c>
      <c r="AF131" s="8">
        <v>-26331</v>
      </c>
      <c r="AG131" s="8">
        <v>-7432</v>
      </c>
      <c r="AH131" s="8">
        <v>-17473</v>
      </c>
      <c r="AI131" s="8">
        <v>-26976</v>
      </c>
      <c r="AJ131" s="8">
        <v>-37174</v>
      </c>
      <c r="AK131" s="8">
        <v>-11506</v>
      </c>
      <c r="AL131" s="8">
        <v>-21527</v>
      </c>
      <c r="AM131" s="8">
        <v>-31883</v>
      </c>
      <c r="AN131" s="8">
        <v>-43068</v>
      </c>
      <c r="AO131" s="8">
        <v>-13107</v>
      </c>
      <c r="AP131" s="8">
        <v>-25349</v>
      </c>
      <c r="AQ131" s="8">
        <v>-37990</v>
      </c>
      <c r="AR131" s="8">
        <v>-53104</v>
      </c>
      <c r="AS131" s="8">
        <v>-16186</v>
      </c>
      <c r="AT131" s="8">
        <v>-34660</v>
      </c>
      <c r="AU131" s="8">
        <v>-54000</v>
      </c>
      <c r="AV131" s="8">
        <v>-75181</v>
      </c>
      <c r="AW131" s="8">
        <v>-23952</v>
      </c>
      <c r="AX131" s="8">
        <v>-44485</v>
      </c>
      <c r="AY131" s="350"/>
      <c r="BA131" s="148"/>
      <c r="BB131" s="148"/>
      <c r="BC131" s="148"/>
      <c r="BD131" s="148"/>
      <c r="BE131" s="148"/>
    </row>
    <row r="132" spans="1:58" x14ac:dyDescent="0.2">
      <c r="C132" s="9" t="s">
        <v>95</v>
      </c>
      <c r="D132" s="8"/>
      <c r="E132" s="8"/>
      <c r="F132" s="8">
        <v>-164.61199999999999</v>
      </c>
      <c r="G132" s="8"/>
      <c r="H132" s="8">
        <v>-201.054</v>
      </c>
      <c r="I132" s="8"/>
      <c r="J132" s="8">
        <v>-247.28399999999999</v>
      </c>
      <c r="K132" s="8"/>
      <c r="L132" s="8">
        <v>-331.524</v>
      </c>
      <c r="M132" s="8"/>
      <c r="N132" s="8">
        <v>-414</v>
      </c>
      <c r="O132" s="8"/>
      <c r="P132" s="8">
        <v>-456</v>
      </c>
      <c r="Q132" s="8">
        <v>-255</v>
      </c>
      <c r="R132" s="8">
        <v>-516</v>
      </c>
      <c r="T132" s="8">
        <v>-883</v>
      </c>
      <c r="U132" s="8"/>
      <c r="V132" s="8">
        <f>-536</f>
        <v>-536</v>
      </c>
      <c r="W132" s="8">
        <v>-1025</v>
      </c>
      <c r="X132" s="8">
        <v>-1430</v>
      </c>
      <c r="Y132" s="8">
        <v>-997</v>
      </c>
      <c r="Z132" s="8">
        <v>-1997</v>
      </c>
      <c r="AA132" s="8">
        <v>-2822</v>
      </c>
      <c r="AB132" s="8">
        <v>-3973</v>
      </c>
      <c r="AC132" s="8">
        <v>-1027</v>
      </c>
      <c r="AD132" s="8">
        <v>-2052</v>
      </c>
      <c r="AE132" s="8">
        <v>-3093</v>
      </c>
      <c r="AF132" s="8">
        <v>-4129</v>
      </c>
      <c r="AG132" s="8">
        <v>-1055</v>
      </c>
      <c r="AH132" s="8">
        <v>-2352</v>
      </c>
      <c r="AI132" s="8">
        <v>-3719</v>
      </c>
      <c r="AJ132" s="8">
        <v>-4897</v>
      </c>
      <c r="AK132" s="8">
        <v>-1344</v>
      </c>
      <c r="AL132" s="8">
        <v>-3265</v>
      </c>
      <c r="AM132" s="8">
        <v>-4058</v>
      </c>
      <c r="AN132" s="8">
        <v>-5610</v>
      </c>
      <c r="AO132" s="8">
        <v>-1377</v>
      </c>
      <c r="AP132" s="8">
        <v>-2860</v>
      </c>
      <c r="AQ132" s="8">
        <v>-4432</v>
      </c>
      <c r="AR132" s="8">
        <v>-6072</v>
      </c>
      <c r="AS132" s="8">
        <v>-1641</v>
      </c>
      <c r="AT132" s="8">
        <v>-4294</v>
      </c>
      <c r="AU132" s="8">
        <v>-6856</v>
      </c>
      <c r="AV132" s="8">
        <v>-9708</v>
      </c>
      <c r="AW132" s="8">
        <v>-2978</v>
      </c>
      <c r="AX132" s="8">
        <v>-6118</v>
      </c>
      <c r="BA132" s="148"/>
      <c r="BB132" s="148"/>
      <c r="BC132" s="148"/>
      <c r="BD132" s="148"/>
      <c r="BE132" s="148"/>
      <c r="BF132" s="154"/>
    </row>
    <row r="133" spans="1:58" x14ac:dyDescent="0.2">
      <c r="C133" s="9" t="s">
        <v>367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T133" s="8"/>
      <c r="U133" s="8"/>
      <c r="V133" s="8"/>
      <c r="W133" s="8"/>
      <c r="X133" s="8"/>
      <c r="Y133" s="8">
        <v>-687</v>
      </c>
      <c r="Z133" s="8">
        <v>-1390</v>
      </c>
      <c r="AA133" s="8">
        <v>-2006</v>
      </c>
      <c r="AB133" s="8">
        <v>-2842</v>
      </c>
      <c r="AC133" s="8">
        <v>-675</v>
      </c>
      <c r="AD133" s="8">
        <v>-1202</v>
      </c>
      <c r="AE133" s="8">
        <v>-1836</v>
      </c>
      <c r="AF133" s="8">
        <v>-2654</v>
      </c>
      <c r="AG133" s="8">
        <v>-1278</v>
      </c>
      <c r="AH133" s="8">
        <v>-2788</v>
      </c>
      <c r="AI133" s="8">
        <v>-4542</v>
      </c>
      <c r="AJ133" s="8">
        <v>-6317</v>
      </c>
      <c r="AK133" s="8">
        <v>-1389</v>
      </c>
      <c r="AL133" s="8">
        <v>-2701</v>
      </c>
      <c r="AM133" s="8">
        <v>-4892</v>
      </c>
      <c r="AN133" s="8">
        <v>-6524</v>
      </c>
      <c r="AO133" s="8">
        <v>-1403</v>
      </c>
      <c r="AP133" s="8">
        <v>-3683</v>
      </c>
      <c r="AQ133" s="8">
        <v>-5415</v>
      </c>
      <c r="AR133" s="8">
        <v>-8542</v>
      </c>
      <c r="AS133" s="8">
        <v>-2311</v>
      </c>
      <c r="AT133" s="8">
        <v>-5314</v>
      </c>
      <c r="AU133" s="8">
        <v>-7811</v>
      </c>
      <c r="AV133" s="8">
        <v>-11379</v>
      </c>
      <c r="AW133" s="8">
        <v>-2291</v>
      </c>
      <c r="AX133" s="8">
        <v>-4986</v>
      </c>
      <c r="AY133" s="145"/>
      <c r="BA133" s="148"/>
      <c r="BB133" s="148"/>
      <c r="BC133" s="148"/>
      <c r="BD133" s="148"/>
      <c r="BE133" s="148"/>
      <c r="BF133" s="154"/>
    </row>
    <row r="134" spans="1:58" x14ac:dyDescent="0.2">
      <c r="C134" s="9" t="s">
        <v>96</v>
      </c>
      <c r="D134" s="8">
        <v>-1267</v>
      </c>
      <c r="E134" s="8"/>
      <c r="F134" s="8">
        <v>-992.7299999999999</v>
      </c>
      <c r="G134" s="8"/>
      <c r="H134" s="8">
        <v>-1820.7429999999999</v>
      </c>
      <c r="I134" s="8"/>
      <c r="J134" s="8">
        <v>-2857.4780000000001</v>
      </c>
      <c r="K134" s="8"/>
      <c r="L134" s="8">
        <v>-3674.5950000000003</v>
      </c>
      <c r="M134" s="8"/>
      <c r="N134" s="8">
        <v>-5808</v>
      </c>
      <c r="O134" s="8"/>
      <c r="P134" s="8">
        <f>-5071-P132</f>
        <v>-4615</v>
      </c>
      <c r="Q134" s="8">
        <f>-3122-Q132</f>
        <v>-2867</v>
      </c>
      <c r="R134" s="8">
        <f>-6662-R132</f>
        <v>-6146</v>
      </c>
      <c r="T134" s="8">
        <f>-10010</f>
        <v>-10010</v>
      </c>
      <c r="U134" s="8"/>
      <c r="V134" s="8">
        <v>-6119</v>
      </c>
      <c r="W134" s="8">
        <v>-9783</v>
      </c>
      <c r="X134" s="8">
        <v>-13747</v>
      </c>
      <c r="Y134" s="8">
        <v>-2046</v>
      </c>
      <c r="Z134" s="8">
        <f>-7500-Z132-Z133</f>
        <v>-4113</v>
      </c>
      <c r="AA134" s="8">
        <v>-6435</v>
      </c>
      <c r="AB134" s="8">
        <f>-12059-AB133</f>
        <v>-9217</v>
      </c>
      <c r="AC134" s="8">
        <v>-2536</v>
      </c>
      <c r="AD134" s="8">
        <v>-5013</v>
      </c>
      <c r="AE134" s="8">
        <v>-7456</v>
      </c>
      <c r="AF134" s="8">
        <v>-10040</v>
      </c>
      <c r="AG134" s="8">
        <v>-2800</v>
      </c>
      <c r="AH134" s="8">
        <v>-7131</v>
      </c>
      <c r="AI134" s="8">
        <v>-11851</v>
      </c>
      <c r="AJ134" s="8">
        <v>-16382</v>
      </c>
      <c r="AK134" s="8">
        <v>-5303</v>
      </c>
      <c r="AL134" s="8">
        <v>-10851</v>
      </c>
      <c r="AM134" s="8">
        <v>-15368</v>
      </c>
      <c r="AN134" s="8">
        <v>-20652</v>
      </c>
      <c r="AO134" s="8">
        <v>-5293</v>
      </c>
      <c r="AP134" s="8">
        <v>-11733</v>
      </c>
      <c r="AQ134" s="8">
        <v>-18045</v>
      </c>
      <c r="AR134" s="8">
        <v>-26762</v>
      </c>
      <c r="AS134" s="8">
        <v>-6546</v>
      </c>
      <c r="AT134" s="8">
        <v>-14126</v>
      </c>
      <c r="AU134" s="8">
        <v>-23701</v>
      </c>
      <c r="AV134" s="8">
        <v>-35863</v>
      </c>
      <c r="AW134" s="8">
        <v>-9337</v>
      </c>
      <c r="AX134" s="8">
        <v>-21030</v>
      </c>
      <c r="AY134" s="314"/>
      <c r="BA134" s="148"/>
      <c r="BB134" s="148"/>
      <c r="BC134" s="148"/>
      <c r="BD134" s="148"/>
      <c r="BE134" s="148"/>
      <c r="BF134" s="154"/>
    </row>
    <row r="135" spans="1:58" s="6" customFormat="1" x14ac:dyDescent="0.2">
      <c r="B135" s="13"/>
      <c r="C135" s="13" t="s">
        <v>19</v>
      </c>
      <c r="D135" s="17">
        <f t="shared" ref="D135:N135" si="71">SUM(D131:D134)</f>
        <v>-2704</v>
      </c>
      <c r="E135" s="17"/>
      <c r="F135" s="17">
        <f t="shared" si="71"/>
        <v>-2690.5889999999999</v>
      </c>
      <c r="G135" s="17"/>
      <c r="H135" s="17">
        <f t="shared" si="71"/>
        <v>-4044.556</v>
      </c>
      <c r="I135" s="17"/>
      <c r="J135" s="17">
        <f t="shared" si="71"/>
        <v>-5809.7870000000003</v>
      </c>
      <c r="K135" s="17"/>
      <c r="L135" s="17">
        <f t="shared" si="71"/>
        <v>-7526.7740000000003</v>
      </c>
      <c r="M135" s="17"/>
      <c r="N135" s="17">
        <f t="shared" si="71"/>
        <v>-12100</v>
      </c>
      <c r="O135" s="17"/>
      <c r="P135" s="17">
        <f>SUM(P131:P134)</f>
        <v>-10638</v>
      </c>
      <c r="Q135" s="17">
        <f>SUM(Q131:Q134)</f>
        <v>-7238</v>
      </c>
      <c r="R135" s="17">
        <f>SUM(R131:R134)</f>
        <v>-14617</v>
      </c>
      <c r="S135" s="17">
        <f>SUM(S131:S134)</f>
        <v>0</v>
      </c>
      <c r="T135" s="17">
        <f>SUM(T131:T134)</f>
        <v>-24290</v>
      </c>
      <c r="U135" s="17"/>
      <c r="V135" s="17">
        <f t="shared" ref="V135:AA135" si="72">SUM(V131:V134)</f>
        <v>-15721</v>
      </c>
      <c r="W135" s="17">
        <f t="shared" si="72"/>
        <v>-24990</v>
      </c>
      <c r="X135" s="17">
        <f>SUM(X131:X134)</f>
        <v>-34731</v>
      </c>
      <c r="Y135" s="17">
        <f t="shared" si="72"/>
        <v>-9494</v>
      </c>
      <c r="Z135" s="17">
        <f t="shared" si="72"/>
        <v>-18983</v>
      </c>
      <c r="AA135" s="17">
        <f t="shared" si="72"/>
        <v>-28138</v>
      </c>
      <c r="AB135" s="17">
        <f t="shared" ref="AB135:AX135" si="73">SUM(AB131:AB134)</f>
        <v>-39272</v>
      </c>
      <c r="AC135" s="17">
        <f t="shared" si="73"/>
        <v>-10047</v>
      </c>
      <c r="AD135" s="17">
        <f t="shared" si="73"/>
        <v>-20798</v>
      </c>
      <c r="AE135" s="17">
        <f t="shared" si="73"/>
        <v>-31185</v>
      </c>
      <c r="AF135" s="17">
        <f t="shared" si="73"/>
        <v>-43154</v>
      </c>
      <c r="AG135" s="17">
        <f t="shared" si="73"/>
        <v>-12565</v>
      </c>
      <c r="AH135" s="17">
        <f t="shared" si="73"/>
        <v>-29744</v>
      </c>
      <c r="AI135" s="17">
        <f t="shared" si="73"/>
        <v>-47088</v>
      </c>
      <c r="AJ135" s="17">
        <f t="shared" si="73"/>
        <v>-64770</v>
      </c>
      <c r="AK135" s="17">
        <f t="shared" si="73"/>
        <v>-19542</v>
      </c>
      <c r="AL135" s="17">
        <f t="shared" si="73"/>
        <v>-38344</v>
      </c>
      <c r="AM135" s="17">
        <f t="shared" si="73"/>
        <v>-56201</v>
      </c>
      <c r="AN135" s="17">
        <f t="shared" si="73"/>
        <v>-75854</v>
      </c>
      <c r="AO135" s="17">
        <f t="shared" si="73"/>
        <v>-21180</v>
      </c>
      <c r="AP135" s="17">
        <f t="shared" si="73"/>
        <v>-43625</v>
      </c>
      <c r="AQ135" s="17">
        <f t="shared" si="73"/>
        <v>-65882</v>
      </c>
      <c r="AR135" s="17">
        <f t="shared" si="73"/>
        <v>-94480</v>
      </c>
      <c r="AS135" s="17">
        <f t="shared" si="73"/>
        <v>-26684</v>
      </c>
      <c r="AT135" s="17">
        <f t="shared" si="73"/>
        <v>-58394</v>
      </c>
      <c r="AU135" s="17">
        <f t="shared" si="73"/>
        <v>-92368</v>
      </c>
      <c r="AV135" s="17">
        <f t="shared" si="73"/>
        <v>-132131</v>
      </c>
      <c r="AW135" s="17">
        <f t="shared" si="73"/>
        <v>-38558</v>
      </c>
      <c r="AX135" s="17">
        <f t="shared" si="73"/>
        <v>-76619</v>
      </c>
      <c r="AY135" s="126"/>
      <c r="BA135" s="15"/>
      <c r="BB135" s="15"/>
      <c r="BC135" s="15"/>
      <c r="BD135" s="15"/>
      <c r="BE135" s="15"/>
      <c r="BF135" s="154"/>
    </row>
    <row r="136" spans="1:58" x14ac:dyDescent="0.2">
      <c r="C136" s="9" t="s">
        <v>18</v>
      </c>
      <c r="D136" s="8"/>
      <c r="E136" s="8"/>
      <c r="F136" s="8">
        <v>-58.030999999999999</v>
      </c>
      <c r="G136" s="8"/>
      <c r="H136" s="8">
        <v>25.516999999999999</v>
      </c>
      <c r="I136" s="8"/>
      <c r="J136" s="8">
        <v>281.12299999999999</v>
      </c>
      <c r="K136" s="8"/>
      <c r="L136" s="8">
        <v>112.282</v>
      </c>
      <c r="M136" s="8"/>
      <c r="N136" s="8">
        <v>-555</v>
      </c>
      <c r="O136" s="8"/>
      <c r="P136" s="8">
        <v>5</v>
      </c>
      <c r="Q136" s="8"/>
      <c r="R136" s="8">
        <v>6</v>
      </c>
      <c r="T136" s="8">
        <v>-78</v>
      </c>
      <c r="U136" s="8"/>
      <c r="V136" s="8">
        <v>0</v>
      </c>
      <c r="W136" s="8">
        <v>0</v>
      </c>
      <c r="X136" s="8">
        <v>-119</v>
      </c>
      <c r="Y136" s="8">
        <v>0</v>
      </c>
      <c r="Z136" s="8">
        <v>0</v>
      </c>
      <c r="AA136" s="8">
        <v>0</v>
      </c>
      <c r="AB136" s="8">
        <v>-211</v>
      </c>
      <c r="AC136" s="8">
        <v>0</v>
      </c>
      <c r="AD136" s="8">
        <v>0</v>
      </c>
      <c r="AE136" s="8">
        <v>0</v>
      </c>
      <c r="AF136" s="8">
        <v>7</v>
      </c>
      <c r="AG136" s="8">
        <v>0</v>
      </c>
      <c r="AH136" s="8">
        <v>-2</v>
      </c>
      <c r="AI136" s="8">
        <v>-4</v>
      </c>
      <c r="AJ136" s="8">
        <v>45</v>
      </c>
      <c r="AK136" s="8">
        <v>0</v>
      </c>
      <c r="AL136" s="8">
        <v>107</v>
      </c>
      <c r="AM136" s="8">
        <v>-97</v>
      </c>
      <c r="AN136" s="8">
        <v>273</v>
      </c>
      <c r="AO136" s="8">
        <v>-36</v>
      </c>
      <c r="AP136" s="8">
        <v>-108</v>
      </c>
      <c r="AQ136" s="8">
        <v>-8</v>
      </c>
      <c r="AR136" s="8">
        <v>421</v>
      </c>
      <c r="AS136" s="8">
        <v>0</v>
      </c>
      <c r="AT136" s="8">
        <v>22</v>
      </c>
      <c r="AU136" s="8">
        <v>11</v>
      </c>
      <c r="AV136" s="8">
        <v>307</v>
      </c>
      <c r="AW136" s="8">
        <v>3</v>
      </c>
      <c r="AX136" s="8">
        <v>2</v>
      </c>
      <c r="AY136" s="314"/>
      <c r="BA136" s="15"/>
      <c r="BB136" s="15"/>
      <c r="BC136" s="15"/>
      <c r="BD136" s="15"/>
      <c r="BE136" s="15"/>
    </row>
    <row r="137" spans="1:58" x14ac:dyDescent="0.2">
      <c r="A137" s="9"/>
      <c r="C137" s="9" t="s">
        <v>97</v>
      </c>
      <c r="D137" s="8"/>
      <c r="E137" s="8"/>
      <c r="F137" s="8">
        <v>-82.924999999999997</v>
      </c>
      <c r="G137" s="8"/>
      <c r="H137" s="8">
        <v>-146.43100000000001</v>
      </c>
      <c r="I137" s="8"/>
      <c r="J137" s="8">
        <v>-57.727000000000004</v>
      </c>
      <c r="K137" s="8"/>
      <c r="L137" s="8">
        <v>-209.43600000000001</v>
      </c>
      <c r="M137" s="8"/>
      <c r="N137" s="8">
        <v>-163</v>
      </c>
      <c r="O137" s="8"/>
      <c r="P137" s="8">
        <f>-1377-P138</f>
        <v>-772</v>
      </c>
      <c r="Q137" s="8">
        <f>-645+110</f>
        <v>-535</v>
      </c>
      <c r="R137" s="8">
        <f>-1362-R138</f>
        <v>-1133</v>
      </c>
      <c r="S137" s="19"/>
      <c r="T137" s="8">
        <v>-2468</v>
      </c>
      <c r="U137" s="8"/>
      <c r="V137" s="8">
        <v>-824</v>
      </c>
      <c r="W137" s="8">
        <v>-1054</v>
      </c>
      <c r="X137" s="8">
        <v>-1222</v>
      </c>
      <c r="Y137" s="8">
        <f>-1471-Y138</f>
        <v>-1171</v>
      </c>
      <c r="Z137" s="8">
        <f>-2296-Z138</f>
        <v>-1996</v>
      </c>
      <c r="AA137" s="8">
        <v>-2403</v>
      </c>
      <c r="AB137" s="8">
        <v>-3164</v>
      </c>
      <c r="AC137" s="8">
        <v>-638</v>
      </c>
      <c r="AD137" s="8">
        <v>-671</v>
      </c>
      <c r="AE137" s="8">
        <v>-1628</v>
      </c>
      <c r="AF137" s="8">
        <v>-2398</v>
      </c>
      <c r="AG137" s="8">
        <v>-152</v>
      </c>
      <c r="AH137" s="8">
        <v>31</v>
      </c>
      <c r="AI137" s="8">
        <v>-443</v>
      </c>
      <c r="AJ137" s="8">
        <v>-441</v>
      </c>
      <c r="AK137" s="8">
        <v>1248</v>
      </c>
      <c r="AL137" s="8">
        <v>708</v>
      </c>
      <c r="AM137" s="8">
        <v>-3362</v>
      </c>
      <c r="AN137" s="8">
        <v>-1570</v>
      </c>
      <c r="AO137" s="8">
        <v>-492</v>
      </c>
      <c r="AP137" s="8">
        <v>-2433</v>
      </c>
      <c r="AQ137" s="8">
        <v>-3284</v>
      </c>
      <c r="AR137" s="8">
        <v>-5287</v>
      </c>
      <c r="AS137" s="8">
        <v>-153</v>
      </c>
      <c r="AT137" s="8">
        <v>-992</v>
      </c>
      <c r="AU137" s="8">
        <v>-1822</v>
      </c>
      <c r="AV137" s="8">
        <v>-3843</v>
      </c>
      <c r="AW137" s="8">
        <v>-1645</v>
      </c>
      <c r="AX137" s="8">
        <v>-4190</v>
      </c>
      <c r="AY137" s="20"/>
      <c r="BA137" s="15"/>
      <c r="BB137" s="15"/>
      <c r="BC137" s="15"/>
    </row>
    <row r="138" spans="1:58" x14ac:dyDescent="0.2">
      <c r="A138" s="9"/>
      <c r="C138" s="9" t="s">
        <v>98</v>
      </c>
      <c r="D138" s="8"/>
      <c r="E138" s="8"/>
      <c r="F138" s="8">
        <v>0</v>
      </c>
      <c r="G138" s="8"/>
      <c r="H138" s="8">
        <v>0</v>
      </c>
      <c r="I138" s="8"/>
      <c r="J138" s="8">
        <v>-61.536000000000001</v>
      </c>
      <c r="K138" s="8"/>
      <c r="L138" s="8">
        <v>-62.405000000000001</v>
      </c>
      <c r="M138" s="8"/>
      <c r="N138" s="8">
        <v>0</v>
      </c>
      <c r="O138" s="8"/>
      <c r="P138" s="8">
        <v>-605</v>
      </c>
      <c r="Q138" s="8">
        <v>-110</v>
      </c>
      <c r="R138" s="8">
        <v>-229</v>
      </c>
      <c r="S138" s="19"/>
      <c r="T138" s="8">
        <v>-250</v>
      </c>
      <c r="U138" s="8"/>
      <c r="V138" s="8">
        <v>0</v>
      </c>
      <c r="W138" s="8">
        <v>0</v>
      </c>
      <c r="X138" s="8">
        <v>0</v>
      </c>
      <c r="Y138" s="8">
        <v>-300</v>
      </c>
      <c r="Z138" s="8">
        <v>-300</v>
      </c>
      <c r="AA138" s="8">
        <v>-470</v>
      </c>
      <c r="AB138" s="8">
        <v>-470</v>
      </c>
      <c r="AC138" s="8">
        <v>0</v>
      </c>
      <c r="AD138" s="8">
        <v>-137</v>
      </c>
      <c r="AE138" s="8">
        <v>-34</v>
      </c>
      <c r="AF138" s="8">
        <v>-34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-219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19"/>
      <c r="BA138" s="15"/>
      <c r="BB138" s="15"/>
      <c r="BC138" s="15"/>
    </row>
    <row r="139" spans="1:58" x14ac:dyDescent="0.2">
      <c r="A139" s="9"/>
      <c r="C139" s="9" t="s">
        <v>160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T139" s="8">
        <v>0</v>
      </c>
      <c r="U139" s="8"/>
      <c r="V139" s="8">
        <v>0</v>
      </c>
      <c r="W139" s="8">
        <v>0</v>
      </c>
      <c r="X139" s="8">
        <v>700</v>
      </c>
      <c r="Y139" s="8">
        <v>461</v>
      </c>
      <c r="Z139" s="8">
        <v>1098</v>
      </c>
      <c r="AA139" s="8">
        <v>1898</v>
      </c>
      <c r="AB139" s="8">
        <v>2652</v>
      </c>
      <c r="AC139" s="8">
        <v>1245</v>
      </c>
      <c r="AD139" s="8">
        <v>2747</v>
      </c>
      <c r="AE139" s="8">
        <v>4302</v>
      </c>
      <c r="AF139" s="8">
        <v>6511</v>
      </c>
      <c r="AG139" s="8">
        <v>3240</v>
      </c>
      <c r="AH139" s="8">
        <v>7044</v>
      </c>
      <c r="AI139" s="8">
        <v>11630</v>
      </c>
      <c r="AJ139" s="8">
        <v>16430</v>
      </c>
      <c r="AK139" s="8">
        <v>6904</v>
      </c>
      <c r="AL139" s="8">
        <v>11311</v>
      </c>
      <c r="AM139" s="8">
        <v>19258</v>
      </c>
      <c r="AN139" s="8">
        <v>27139</v>
      </c>
      <c r="AO139" s="8">
        <v>7566</v>
      </c>
      <c r="AP139" s="8">
        <v>15647</v>
      </c>
      <c r="AQ139" s="8">
        <v>25845</v>
      </c>
      <c r="AR139" s="8">
        <v>43328</v>
      </c>
      <c r="AS139" s="8">
        <v>12885</v>
      </c>
      <c r="AT139" s="8">
        <v>30394</v>
      </c>
      <c r="AU139" s="8">
        <v>49502</v>
      </c>
      <c r="AV139" s="8">
        <v>70885</v>
      </c>
      <c r="AW139" s="8">
        <v>32503</v>
      </c>
      <c r="AX139" s="8">
        <v>74279</v>
      </c>
      <c r="AY139" s="327"/>
    </row>
    <row r="140" spans="1:58" x14ac:dyDescent="0.2">
      <c r="A140" s="9"/>
      <c r="C140" s="9" t="s">
        <v>161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T140" s="8">
        <v>0</v>
      </c>
      <c r="U140" s="8"/>
      <c r="V140" s="8">
        <v>0</v>
      </c>
      <c r="W140" s="8">
        <v>0</v>
      </c>
      <c r="X140" s="8">
        <v>-759</v>
      </c>
      <c r="Y140" s="8">
        <v>-540</v>
      </c>
      <c r="Z140" s="8">
        <v>-1190</v>
      </c>
      <c r="AA140" s="8">
        <v>-1958</v>
      </c>
      <c r="AB140" s="8">
        <v>-2639</v>
      </c>
      <c r="AC140" s="8">
        <v>-1188</v>
      </c>
      <c r="AD140" s="8">
        <v>-2447</v>
      </c>
      <c r="AE140" s="8">
        <v>-3848</v>
      </c>
      <c r="AF140" s="8">
        <v>-5443</v>
      </c>
      <c r="AG140" s="8">
        <v>-2408</v>
      </c>
      <c r="AH140" s="8">
        <v>-5720</v>
      </c>
      <c r="AI140" s="8">
        <v>-9369</v>
      </c>
      <c r="AJ140" s="8">
        <v>-13854</v>
      </c>
      <c r="AK140" s="8">
        <v>-3055</v>
      </c>
      <c r="AL140" s="8">
        <v>-7603</v>
      </c>
      <c r="AM140" s="8">
        <v>-11285</v>
      </c>
      <c r="AN140" s="8">
        <v>-12003</v>
      </c>
      <c r="AO140" s="8">
        <v>-3882</v>
      </c>
      <c r="AP140" s="8">
        <v>-6558</v>
      </c>
      <c r="AQ140" s="8">
        <v>-8808</v>
      </c>
      <c r="AR140" s="8">
        <v>-22472</v>
      </c>
      <c r="AS140" s="8">
        <v>-9033</v>
      </c>
      <c r="AT140" s="8">
        <v>-18223</v>
      </c>
      <c r="AU140" s="8">
        <v>-21942</v>
      </c>
      <c r="AV140" s="8">
        <v>-27243</v>
      </c>
      <c r="AW140" s="8">
        <v>-19349</v>
      </c>
      <c r="AX140" s="8">
        <v>-48276</v>
      </c>
      <c r="AY140" s="297"/>
    </row>
    <row r="141" spans="1:58" x14ac:dyDescent="0.2">
      <c r="C141" s="13" t="s">
        <v>20</v>
      </c>
      <c r="D141" s="17">
        <f>D105+D130+D135+SUM(D136:D140)</f>
        <v>-55.896999999999935</v>
      </c>
      <c r="E141" s="17"/>
      <c r="F141" s="17">
        <f>F105+F130+F135+SUM(F136:F140)</f>
        <v>1974.2899999999993</v>
      </c>
      <c r="G141" s="17"/>
      <c r="H141" s="17">
        <f>H105+H130+H135+SUM(H136:H140)</f>
        <v>4215.7210000000005</v>
      </c>
      <c r="I141" s="17"/>
      <c r="J141" s="17">
        <f>J105+J130+J135+SUM(J136:J140)</f>
        <v>4460.4100000000008</v>
      </c>
      <c r="K141" s="17"/>
      <c r="L141" s="17">
        <f>L105+L130+L135+SUM(L136:L140)</f>
        <v>4425.996000000001</v>
      </c>
      <c r="M141" s="17"/>
      <c r="N141" s="17">
        <f>N105+N130+N135+SUM(N136:N140)</f>
        <v>589</v>
      </c>
      <c r="O141" s="17"/>
      <c r="P141" s="17">
        <f>P105+P130+P135+SUM(P136:P140)</f>
        <v>23934</v>
      </c>
      <c r="Q141" s="17">
        <f>Q105+Q130+Q135+SUM(Q136:Q140)</f>
        <v>30410</v>
      </c>
      <c r="R141" s="17">
        <f>R105+R130+R135+SUM(R136:R140)</f>
        <v>41650</v>
      </c>
      <c r="S141" s="17">
        <f>S130+S135+SUM(S136:S140)</f>
        <v>0</v>
      </c>
      <c r="T141" s="17">
        <f>T105+T130+T135+SUM(T136:T140)</f>
        <v>36659</v>
      </c>
      <c r="U141" s="17">
        <v>6307</v>
      </c>
      <c r="V141" s="17">
        <f t="shared" ref="V141:AG141" si="74">V105+V130+V135+SUM(V136:V140)</f>
        <v>12272</v>
      </c>
      <c r="W141" s="17">
        <f t="shared" si="74"/>
        <v>18341</v>
      </c>
      <c r="X141" s="17">
        <f>X105+X130+X135+SUM(X136:X140)</f>
        <v>20825</v>
      </c>
      <c r="Y141" s="17">
        <f t="shared" si="74"/>
        <v>7165</v>
      </c>
      <c r="Z141" s="17">
        <f t="shared" si="74"/>
        <v>16226</v>
      </c>
      <c r="AA141" s="17">
        <f t="shared" si="74"/>
        <v>27401</v>
      </c>
      <c r="AB141" s="17">
        <f t="shared" si="74"/>
        <v>38326</v>
      </c>
      <c r="AC141" s="17">
        <f t="shared" si="74"/>
        <v>-14702</v>
      </c>
      <c r="AD141" s="17">
        <f t="shared" si="74"/>
        <v>12313</v>
      </c>
      <c r="AE141" s="17">
        <f t="shared" si="74"/>
        <v>27284</v>
      </c>
      <c r="AF141" s="17">
        <f t="shared" si="74"/>
        <v>48547</v>
      </c>
      <c r="AG141" s="17">
        <f t="shared" si="74"/>
        <v>12054</v>
      </c>
      <c r="AH141" s="17">
        <f>AH105+AH130+AH135+SUM(AH136:AH140)</f>
        <v>31402</v>
      </c>
      <c r="AI141" s="17">
        <f>AI105+AI130+AI135+SUM(AI136:AI140)</f>
        <v>50286</v>
      </c>
      <c r="AJ141" s="17">
        <f t="shared" ref="AJ141" si="75">AJ105+AJ130+AJ135+SUM(AJ136:AJ140)</f>
        <v>61062</v>
      </c>
      <c r="AK141" s="17">
        <f t="shared" ref="AK141:AX141" si="76">AK105+AK130+AK135+SUM(AK136:AK140)</f>
        <v>-46997</v>
      </c>
      <c r="AL141" s="17">
        <f t="shared" si="76"/>
        <v>-86643</v>
      </c>
      <c r="AM141" s="17">
        <f t="shared" si="76"/>
        <v>-76240</v>
      </c>
      <c r="AN141" s="17">
        <f t="shared" si="76"/>
        <v>-23023</v>
      </c>
      <c r="AO141" s="17">
        <f t="shared" si="76"/>
        <v>27751</v>
      </c>
      <c r="AP141" s="17">
        <f t="shared" si="76"/>
        <v>63007</v>
      </c>
      <c r="AQ141" s="17">
        <f t="shared" si="76"/>
        <v>94279</v>
      </c>
      <c r="AR141" s="17">
        <f t="shared" si="76"/>
        <v>109723</v>
      </c>
      <c r="AS141" s="17">
        <f t="shared" si="76"/>
        <v>26433</v>
      </c>
      <c r="AT141" s="17">
        <f t="shared" si="76"/>
        <v>42821</v>
      </c>
      <c r="AU141" s="17">
        <f t="shared" si="76"/>
        <v>60841</v>
      </c>
      <c r="AV141" s="17">
        <f t="shared" si="76"/>
        <v>79708</v>
      </c>
      <c r="AW141" s="17">
        <f t="shared" si="76"/>
        <v>14113</v>
      </c>
      <c r="AX141" s="17">
        <f t="shared" si="76"/>
        <v>20492</v>
      </c>
      <c r="AY141" s="126"/>
      <c r="BA141" s="15"/>
      <c r="BB141" s="15"/>
      <c r="BC141" s="15"/>
    </row>
    <row r="142" spans="1:58" x14ac:dyDescent="0.2">
      <c r="C142" s="4" t="s">
        <v>21</v>
      </c>
      <c r="D142" s="8">
        <v>-12</v>
      </c>
      <c r="E142" s="8"/>
      <c r="F142" s="8">
        <v>-375.166</v>
      </c>
      <c r="G142" s="8"/>
      <c r="H142" s="8">
        <v>-894.35799999999995</v>
      </c>
      <c r="I142" s="8"/>
      <c r="J142" s="8">
        <v>-944.97500000000002</v>
      </c>
      <c r="K142" s="8"/>
      <c r="L142" s="8">
        <v>-885.66899999999998</v>
      </c>
      <c r="M142" s="8"/>
      <c r="N142" s="8">
        <v>456</v>
      </c>
      <c r="O142" s="8"/>
      <c r="P142" s="8">
        <v>-4617</v>
      </c>
      <c r="Q142" s="8">
        <v>-5886</v>
      </c>
      <c r="R142" s="8">
        <v>-8043</v>
      </c>
      <c r="T142" s="8">
        <v>-7088</v>
      </c>
      <c r="U142" s="8">
        <v>-1205</v>
      </c>
      <c r="V142" s="8">
        <v>-1553</v>
      </c>
      <c r="W142" s="8">
        <v>-2775</v>
      </c>
      <c r="X142" s="8">
        <v>-3276</v>
      </c>
      <c r="Y142" s="8">
        <v>-1430</v>
      </c>
      <c r="Z142" s="8">
        <v>-3237</v>
      </c>
      <c r="AA142" s="8">
        <v>-5467</v>
      </c>
      <c r="AB142" s="8">
        <v>-8183</v>
      </c>
      <c r="AC142" s="8">
        <v>2954</v>
      </c>
      <c r="AD142" s="8">
        <v>-2462</v>
      </c>
      <c r="AE142" s="8">
        <v>-5429</v>
      </c>
      <c r="AF142" s="8">
        <v>-9346</v>
      </c>
      <c r="AG142" s="8">
        <v>-2239</v>
      </c>
      <c r="AH142" s="8">
        <v>-5738</v>
      </c>
      <c r="AI142" s="8">
        <v>-9402</v>
      </c>
      <c r="AJ142" s="8">
        <v>-11353</v>
      </c>
      <c r="AK142" s="8">
        <v>9053</v>
      </c>
      <c r="AL142" s="8">
        <v>16022</v>
      </c>
      <c r="AM142" s="8">
        <v>14156</v>
      </c>
      <c r="AN142" s="8">
        <v>4440</v>
      </c>
      <c r="AO142" s="8">
        <v>-5172</v>
      </c>
      <c r="AP142" s="8">
        <v>-11358</v>
      </c>
      <c r="AQ142" s="8">
        <v>-17890</v>
      </c>
      <c r="AR142" s="8">
        <v>-14687</v>
      </c>
      <c r="AS142" s="8">
        <v>-1419</v>
      </c>
      <c r="AT142" s="8">
        <v>-4104</v>
      </c>
      <c r="AU142" s="8">
        <v>-4321</v>
      </c>
      <c r="AV142" s="8">
        <v>-2474</v>
      </c>
      <c r="AW142" s="8">
        <v>-1577</v>
      </c>
      <c r="AX142" s="8">
        <v>-2949</v>
      </c>
      <c r="AY142" s="126"/>
      <c r="BA142" s="15"/>
      <c r="BB142" s="15"/>
      <c r="BC142" s="15"/>
    </row>
    <row r="143" spans="1:58" s="13" customFormat="1" x14ac:dyDescent="0.2">
      <c r="C143" s="13" t="s">
        <v>22</v>
      </c>
      <c r="D143" s="17">
        <f t="shared" ref="D143:N143" si="77">SUM(D141:D142)</f>
        <v>-67.896999999999935</v>
      </c>
      <c r="E143" s="17"/>
      <c r="F143" s="17">
        <f t="shared" si="77"/>
        <v>1599.1239999999993</v>
      </c>
      <c r="G143" s="17"/>
      <c r="H143" s="17">
        <f t="shared" si="77"/>
        <v>3321.3630000000003</v>
      </c>
      <c r="I143" s="17"/>
      <c r="J143" s="17">
        <f t="shared" si="77"/>
        <v>3515.4350000000009</v>
      </c>
      <c r="K143" s="17"/>
      <c r="L143" s="17">
        <f t="shared" si="77"/>
        <v>3540.3270000000011</v>
      </c>
      <c r="M143" s="17"/>
      <c r="N143" s="17">
        <f t="shared" si="77"/>
        <v>1045</v>
      </c>
      <c r="O143" s="17">
        <v>2218</v>
      </c>
      <c r="P143" s="17">
        <f t="shared" ref="P143:AG143" si="78">SUM(P141:P142)</f>
        <v>19317</v>
      </c>
      <c r="Q143" s="17">
        <f t="shared" si="78"/>
        <v>24524</v>
      </c>
      <c r="R143" s="17">
        <f>SUM(R141:R142)</f>
        <v>33607</v>
      </c>
      <c r="S143" s="17">
        <v>13795</v>
      </c>
      <c r="T143" s="17">
        <f t="shared" si="78"/>
        <v>29571</v>
      </c>
      <c r="U143" s="17">
        <v>5102</v>
      </c>
      <c r="V143" s="17">
        <f t="shared" si="78"/>
        <v>10719</v>
      </c>
      <c r="W143" s="17">
        <f t="shared" si="78"/>
        <v>15566</v>
      </c>
      <c r="X143" s="17">
        <f t="shared" si="78"/>
        <v>17549</v>
      </c>
      <c r="Y143" s="17">
        <f t="shared" si="78"/>
        <v>5735</v>
      </c>
      <c r="Z143" s="17">
        <f t="shared" si="78"/>
        <v>12989</v>
      </c>
      <c r="AA143" s="17">
        <f t="shared" si="78"/>
        <v>21934</v>
      </c>
      <c r="AB143" s="17">
        <f t="shared" si="78"/>
        <v>30143</v>
      </c>
      <c r="AC143" s="17">
        <f t="shared" si="78"/>
        <v>-11748</v>
      </c>
      <c r="AD143" s="17">
        <f t="shared" si="78"/>
        <v>9851</v>
      </c>
      <c r="AE143" s="17">
        <f t="shared" si="78"/>
        <v>21855</v>
      </c>
      <c r="AF143" s="17">
        <f t="shared" si="78"/>
        <v>39201</v>
      </c>
      <c r="AG143" s="17">
        <f t="shared" si="78"/>
        <v>9815</v>
      </c>
      <c r="AH143" s="17">
        <f>SUM(AH141:AH142)</f>
        <v>25664</v>
      </c>
      <c r="AI143" s="17">
        <f>SUM(AI141:AI142)</f>
        <v>40884</v>
      </c>
      <c r="AJ143" s="17">
        <f t="shared" ref="AJ143:AQ143" si="79">SUM(AJ141:AJ142)</f>
        <v>49709</v>
      </c>
      <c r="AK143" s="17">
        <f t="shared" si="79"/>
        <v>-37944</v>
      </c>
      <c r="AL143" s="17">
        <f t="shared" si="79"/>
        <v>-70621</v>
      </c>
      <c r="AM143" s="17">
        <f t="shared" si="79"/>
        <v>-62084</v>
      </c>
      <c r="AN143" s="17">
        <f t="shared" si="79"/>
        <v>-18583</v>
      </c>
      <c r="AO143" s="17">
        <f t="shared" si="79"/>
        <v>22579</v>
      </c>
      <c r="AP143" s="17">
        <f t="shared" si="79"/>
        <v>51649</v>
      </c>
      <c r="AQ143" s="17">
        <f t="shared" si="79"/>
        <v>76389</v>
      </c>
      <c r="AR143" s="17">
        <f t="shared" ref="AR143:AX143" si="80">SUM(AR141:AR142)</f>
        <v>95036</v>
      </c>
      <c r="AS143" s="17">
        <f t="shared" si="80"/>
        <v>25014</v>
      </c>
      <c r="AT143" s="17">
        <f t="shared" si="80"/>
        <v>38717</v>
      </c>
      <c r="AU143" s="17">
        <f t="shared" si="80"/>
        <v>56520</v>
      </c>
      <c r="AV143" s="17">
        <f t="shared" si="80"/>
        <v>77234</v>
      </c>
      <c r="AW143" s="17">
        <f t="shared" si="80"/>
        <v>12536</v>
      </c>
      <c r="AX143" s="17">
        <f t="shared" si="80"/>
        <v>17543</v>
      </c>
      <c r="AY143" s="126"/>
      <c r="AZ143" s="15"/>
      <c r="BA143" s="15"/>
      <c r="BB143" s="15"/>
      <c r="BC143" s="15"/>
    </row>
    <row r="144" spans="1:58" x14ac:dyDescent="0.2">
      <c r="C144" s="4" t="s">
        <v>99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243"/>
      <c r="AU144" s="8"/>
      <c r="AV144" s="8"/>
      <c r="AW144" s="8"/>
      <c r="AX144" s="243"/>
      <c r="AY144" s="313"/>
    </row>
    <row r="145" spans="2:62" s="9" customFormat="1" x14ac:dyDescent="0.2">
      <c r="C145" s="27" t="s">
        <v>100</v>
      </c>
      <c r="D145" s="8">
        <v>-67.896999999999935</v>
      </c>
      <c r="E145" s="8"/>
      <c r="F145" s="8">
        <v>1599.124</v>
      </c>
      <c r="G145" s="8"/>
      <c r="H145" s="8">
        <v>3321.3629999999998</v>
      </c>
      <c r="I145" s="8"/>
      <c r="J145" s="8">
        <v>3515.4349999999999</v>
      </c>
      <c r="K145" s="8"/>
      <c r="L145" s="8">
        <v>3540.3270000000002</v>
      </c>
      <c r="M145" s="8"/>
      <c r="N145" s="8">
        <v>1045</v>
      </c>
      <c r="O145" s="8"/>
      <c r="P145" s="8">
        <v>19154</v>
      </c>
      <c r="Q145" s="8">
        <v>24524</v>
      </c>
      <c r="R145" s="8">
        <v>33558</v>
      </c>
      <c r="S145" s="8">
        <v>13534</v>
      </c>
      <c r="T145" s="8">
        <f>29571</f>
        <v>29571</v>
      </c>
      <c r="U145" s="8"/>
      <c r="V145" s="8">
        <v>10793</v>
      </c>
      <c r="W145" s="8">
        <v>15541</v>
      </c>
      <c r="X145" s="8">
        <v>17437</v>
      </c>
      <c r="Y145" s="8">
        <v>5675</v>
      </c>
      <c r="Z145" s="8">
        <v>12825</v>
      </c>
      <c r="AA145" s="8">
        <v>21682</v>
      </c>
      <c r="AB145" s="8">
        <v>29769</v>
      </c>
      <c r="AC145" s="8">
        <v>-11825</v>
      </c>
      <c r="AD145" s="8">
        <v>9651</v>
      </c>
      <c r="AE145" s="8">
        <v>21174</v>
      </c>
      <c r="AF145" s="8">
        <v>38504</v>
      </c>
      <c r="AG145" s="8">
        <v>9708</v>
      </c>
      <c r="AH145" s="8">
        <v>25448</v>
      </c>
      <c r="AI145" s="8">
        <v>40596</v>
      </c>
      <c r="AJ145" s="8">
        <v>50386</v>
      </c>
      <c r="AK145" s="8">
        <v>-38022</v>
      </c>
      <c r="AL145" s="8">
        <v>-70558</v>
      </c>
      <c r="AM145" s="8">
        <v>-62095</v>
      </c>
      <c r="AN145" s="8">
        <v>-18869</v>
      </c>
      <c r="AO145" s="8">
        <v>22414</v>
      </c>
      <c r="AP145" s="8">
        <v>51251</v>
      </c>
      <c r="AQ145" s="8">
        <v>75825</v>
      </c>
      <c r="AR145" s="8">
        <v>94138</v>
      </c>
      <c r="AS145" s="8">
        <v>24754</v>
      </c>
      <c r="AT145" s="8">
        <v>37947</v>
      </c>
      <c r="AU145" s="8">
        <v>55312</v>
      </c>
      <c r="AV145" s="8">
        <v>75592</v>
      </c>
      <c r="AW145" s="8">
        <v>12021</v>
      </c>
      <c r="AX145" s="8">
        <v>16228</v>
      </c>
      <c r="AY145" s="328"/>
    </row>
    <row r="146" spans="2:62" s="9" customFormat="1" x14ac:dyDescent="0.2">
      <c r="C146" s="27" t="s">
        <v>101</v>
      </c>
      <c r="D146" s="8">
        <v>0</v>
      </c>
      <c r="E146" s="8"/>
      <c r="F146" s="8">
        <v>0</v>
      </c>
      <c r="G146" s="8"/>
      <c r="H146" s="8">
        <v>0</v>
      </c>
      <c r="I146" s="8"/>
      <c r="J146" s="8">
        <v>0</v>
      </c>
      <c r="K146" s="8"/>
      <c r="L146" s="8">
        <v>0</v>
      </c>
      <c r="M146" s="8"/>
      <c r="N146" s="8">
        <v>0</v>
      </c>
      <c r="O146" s="8"/>
      <c r="P146" s="8">
        <v>163</v>
      </c>
      <c r="Q146" s="8"/>
      <c r="R146" s="8">
        <v>49</v>
      </c>
      <c r="S146" s="8">
        <v>261</v>
      </c>
      <c r="T146" s="8">
        <v>0</v>
      </c>
      <c r="U146" s="8"/>
      <c r="V146" s="8">
        <v>-74</v>
      </c>
      <c r="W146" s="8">
        <v>25</v>
      </c>
      <c r="X146" s="8">
        <v>112</v>
      </c>
      <c r="Y146" s="8">
        <v>60</v>
      </c>
      <c r="Z146" s="8">
        <v>164</v>
      </c>
      <c r="AA146" s="8">
        <v>252</v>
      </c>
      <c r="AB146" s="8">
        <v>374</v>
      </c>
      <c r="AC146" s="8">
        <v>77</v>
      </c>
      <c r="AD146" s="8">
        <v>200</v>
      </c>
      <c r="AE146" s="8">
        <v>681</v>
      </c>
      <c r="AF146" s="8">
        <v>697</v>
      </c>
      <c r="AG146" s="8">
        <v>107</v>
      </c>
      <c r="AH146" s="8">
        <v>216</v>
      </c>
      <c r="AI146" s="8">
        <v>288</v>
      </c>
      <c r="AJ146" s="8">
        <v>-677</v>
      </c>
      <c r="AK146" s="8">
        <v>78</v>
      </c>
      <c r="AL146" s="8">
        <v>-63</v>
      </c>
      <c r="AM146" s="8">
        <v>11</v>
      </c>
      <c r="AN146" s="8">
        <v>286</v>
      </c>
      <c r="AO146" s="8">
        <v>165</v>
      </c>
      <c r="AP146" s="8">
        <v>398</v>
      </c>
      <c r="AQ146" s="8">
        <v>564</v>
      </c>
      <c r="AR146" s="8">
        <v>898</v>
      </c>
      <c r="AS146" s="8">
        <v>260</v>
      </c>
      <c r="AT146" s="8">
        <v>770</v>
      </c>
      <c r="AU146" s="8">
        <v>1208</v>
      </c>
      <c r="AV146" s="8">
        <v>1642</v>
      </c>
      <c r="AW146" s="8">
        <v>515</v>
      </c>
      <c r="AX146" s="8">
        <v>1315</v>
      </c>
      <c r="AY146" s="20"/>
    </row>
    <row r="147" spans="2:62" s="48" customFormat="1" x14ac:dyDescent="0.2">
      <c r="B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67"/>
    </row>
    <row r="148" spans="2:62" x14ac:dyDescent="0.2">
      <c r="C148" s="6" t="s">
        <v>217</v>
      </c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20"/>
      <c r="S148" s="9"/>
      <c r="T148" s="94"/>
      <c r="U148" s="94"/>
      <c r="V148" s="94"/>
      <c r="W148" s="94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BA148" s="9"/>
      <c r="BB148" s="9"/>
      <c r="BC148" s="9"/>
      <c r="BD148" s="9"/>
      <c r="BE148" s="9"/>
      <c r="BF148" s="9"/>
      <c r="BG148" s="9"/>
      <c r="BH148" s="9"/>
      <c r="BI148" s="9"/>
      <c r="BJ148" s="9"/>
    </row>
    <row r="149" spans="2:62" x14ac:dyDescent="0.2">
      <c r="C149" s="95" t="s">
        <v>218</v>
      </c>
      <c r="D149" s="17">
        <f t="shared" ref="D149" si="81">SUM(D150:D153)</f>
        <v>2207.6</v>
      </c>
      <c r="E149" s="17"/>
      <c r="F149" s="17">
        <f t="shared" ref="F149:J149" si="82">SUM(F150:F153)</f>
        <v>604.09100000000001</v>
      </c>
      <c r="G149" s="17"/>
      <c r="H149" s="17">
        <f t="shared" si="82"/>
        <v>-47.530999999999999</v>
      </c>
      <c r="I149" s="17"/>
      <c r="J149" s="17">
        <f t="shared" si="82"/>
        <v>186.14599999999999</v>
      </c>
      <c r="K149" s="17"/>
      <c r="L149" s="17">
        <f t="shared" ref="L149:AO149" si="83">SUM(L150:L154)</f>
        <v>16.506</v>
      </c>
      <c r="M149" s="17"/>
      <c r="N149" s="17">
        <f t="shared" si="83"/>
        <v>-4870</v>
      </c>
      <c r="O149" s="17"/>
      <c r="P149" s="17">
        <f t="shared" si="83"/>
        <v>16791</v>
      </c>
      <c r="Q149" s="17"/>
      <c r="R149" s="17">
        <f t="shared" si="83"/>
        <v>16039</v>
      </c>
      <c r="S149" s="17"/>
      <c r="T149" s="17">
        <f t="shared" si="83"/>
        <v>12634</v>
      </c>
      <c r="U149" s="17"/>
      <c r="V149" s="17">
        <f t="shared" si="83"/>
        <v>-1920</v>
      </c>
      <c r="W149" s="17">
        <f t="shared" si="83"/>
        <v>-3801</v>
      </c>
      <c r="X149" s="17">
        <f t="shared" si="83"/>
        <v>-6484.5997953698243</v>
      </c>
      <c r="Y149" s="17">
        <f t="shared" si="83"/>
        <v>9</v>
      </c>
      <c r="Z149" s="17">
        <f t="shared" si="83"/>
        <v>1429</v>
      </c>
      <c r="AA149" s="17">
        <f t="shared" si="83"/>
        <v>2249</v>
      </c>
      <c r="AB149" s="17">
        <f>SUM(AB150:AB154)</f>
        <v>7075.5326965089007</v>
      </c>
      <c r="AC149" s="17">
        <f t="shared" si="83"/>
        <v>-30403</v>
      </c>
      <c r="AD149" s="17">
        <f t="shared" si="83"/>
        <v>-8061</v>
      </c>
      <c r="AE149" s="17">
        <f t="shared" si="83"/>
        <v>-11330</v>
      </c>
      <c r="AF149" s="17">
        <f>SUM(AF150:AF154)</f>
        <v>2998.6441568517989</v>
      </c>
      <c r="AG149" s="17">
        <f t="shared" si="83"/>
        <v>-4343</v>
      </c>
      <c r="AH149" s="17">
        <f t="shared" si="83"/>
        <v>-4322</v>
      </c>
      <c r="AI149" s="17">
        <f t="shared" si="83"/>
        <v>-4806</v>
      </c>
      <c r="AJ149" s="17">
        <f t="shared" si="83"/>
        <v>-14425.678774602091</v>
      </c>
      <c r="AK149" s="17">
        <f t="shared" si="83"/>
        <v>-32570</v>
      </c>
      <c r="AL149" s="17">
        <f t="shared" si="83"/>
        <v>-15512</v>
      </c>
      <c r="AM149" s="17">
        <f t="shared" si="83"/>
        <v>-22852</v>
      </c>
      <c r="AN149" s="17">
        <f t="shared" si="83"/>
        <v>-15393</v>
      </c>
      <c r="AO149" s="17">
        <f t="shared" si="83"/>
        <v>9508</v>
      </c>
      <c r="AP149" s="17">
        <f t="shared" ref="AP149:AT149" si="84">SUM(AP150:AP154)</f>
        <v>14347</v>
      </c>
      <c r="AQ149" s="17">
        <f t="shared" si="84"/>
        <v>10037</v>
      </c>
      <c r="AR149" s="17">
        <f t="shared" si="84"/>
        <v>15354</v>
      </c>
      <c r="AS149" s="17">
        <f t="shared" si="84"/>
        <v>-653</v>
      </c>
      <c r="AT149" s="17">
        <f t="shared" si="84"/>
        <v>-8796</v>
      </c>
      <c r="AU149" s="17">
        <f>SUM(AU150:AU154)</f>
        <v>-29755</v>
      </c>
      <c r="AV149" s="17">
        <f>SUM(AV150:AV154)</f>
        <v>-45580</v>
      </c>
      <c r="AW149" s="17">
        <f>SUM(AW150:AW154)</f>
        <v>4723</v>
      </c>
      <c r="AX149" s="17">
        <f>SUM(AX150:AX154)</f>
        <v>4682</v>
      </c>
      <c r="AY149" s="19"/>
      <c r="BA149" s="15"/>
      <c r="BB149" s="15"/>
      <c r="BC149" s="15"/>
      <c r="BD149" s="9"/>
      <c r="BE149" s="9"/>
      <c r="BF149" s="9"/>
      <c r="BG149" s="9"/>
      <c r="BH149" s="9"/>
      <c r="BI149" s="9"/>
      <c r="BJ149" s="9"/>
    </row>
    <row r="150" spans="2:62" x14ac:dyDescent="0.2">
      <c r="C150" s="96" t="s">
        <v>219</v>
      </c>
      <c r="D150" s="8">
        <f>D110</f>
        <v>2108.9</v>
      </c>
      <c r="E150" s="8"/>
      <c r="F150" s="8">
        <f>F110</f>
        <v>604.09100000000001</v>
      </c>
      <c r="G150" s="8"/>
      <c r="H150" s="8">
        <f>H110</f>
        <v>-47.530999999999999</v>
      </c>
      <c r="I150" s="8"/>
      <c r="J150" s="8">
        <f>J110</f>
        <v>186.14599999999999</v>
      </c>
      <c r="K150" s="8"/>
      <c r="L150" s="8">
        <f>L110</f>
        <v>16.506</v>
      </c>
      <c r="M150" s="8"/>
      <c r="N150" s="8">
        <f>N110</f>
        <v>-4870</v>
      </c>
      <c r="O150" s="19"/>
      <c r="P150" s="8">
        <f>P110</f>
        <v>16791</v>
      </c>
      <c r="Q150" s="19"/>
      <c r="R150" s="8">
        <v>16039</v>
      </c>
      <c r="S150" s="9"/>
      <c r="T150" s="8">
        <v>11567</v>
      </c>
      <c r="U150" s="94"/>
      <c r="V150" s="8">
        <v>-2506</v>
      </c>
      <c r="W150" s="123">
        <f>W110</f>
        <v>-4392</v>
      </c>
      <c r="X150" s="8">
        <v>-8588</v>
      </c>
      <c r="Y150" s="8">
        <f>Y110</f>
        <v>9</v>
      </c>
      <c r="Z150" s="8">
        <v>1220</v>
      </c>
      <c r="AA150" s="8">
        <f t="shared" ref="AA150:AX150" si="85">AA110</f>
        <v>1575</v>
      </c>
      <c r="AB150" s="8">
        <f t="shared" si="85"/>
        <v>4946</v>
      </c>
      <c r="AC150" s="8">
        <f t="shared" si="85"/>
        <v>-30590</v>
      </c>
      <c r="AD150" s="8">
        <f t="shared" si="85"/>
        <v>-8332</v>
      </c>
      <c r="AE150" s="8">
        <f t="shared" si="85"/>
        <v>-12462</v>
      </c>
      <c r="AF150" s="8">
        <f t="shared" si="85"/>
        <v>-5349</v>
      </c>
      <c r="AG150" s="8">
        <f t="shared" si="85"/>
        <v>-5765</v>
      </c>
      <c r="AH150" s="8">
        <f t="shared" si="85"/>
        <v>-5796</v>
      </c>
      <c r="AI150" s="8">
        <f t="shared" si="85"/>
        <v>-6973</v>
      </c>
      <c r="AJ150" s="8">
        <f t="shared" si="85"/>
        <v>-13055</v>
      </c>
      <c r="AK150" s="8">
        <f t="shared" si="85"/>
        <v>-31923</v>
      </c>
      <c r="AL150" s="8">
        <f t="shared" si="85"/>
        <v>-14894</v>
      </c>
      <c r="AM150" s="8">
        <f t="shared" si="85"/>
        <v>-22179</v>
      </c>
      <c r="AN150" s="8">
        <f t="shared" si="85"/>
        <v>-4144</v>
      </c>
      <c r="AO150" s="8">
        <f t="shared" si="85"/>
        <v>11319</v>
      </c>
      <c r="AP150" s="8">
        <f t="shared" si="85"/>
        <v>26407</v>
      </c>
      <c r="AQ150" s="8">
        <f t="shared" si="85"/>
        <v>25011</v>
      </c>
      <c r="AR150" s="8">
        <f t="shared" si="85"/>
        <v>31500</v>
      </c>
      <c r="AS150" s="8">
        <f t="shared" si="85"/>
        <v>4863</v>
      </c>
      <c r="AT150" s="8">
        <f t="shared" si="85"/>
        <v>5567</v>
      </c>
      <c r="AU150" s="8">
        <f t="shared" si="85"/>
        <v>-3235</v>
      </c>
      <c r="AV150" s="8">
        <f t="shared" si="85"/>
        <v>-4521</v>
      </c>
      <c r="AW150" s="8">
        <f t="shared" si="85"/>
        <v>15426</v>
      </c>
      <c r="AX150" s="8">
        <f t="shared" si="85"/>
        <v>23366</v>
      </c>
      <c r="BA150" s="9"/>
      <c r="BB150" s="9"/>
      <c r="BC150" s="9"/>
      <c r="BD150" s="9"/>
      <c r="BE150" s="9"/>
      <c r="BF150" s="9"/>
      <c r="BG150" s="9"/>
      <c r="BH150" s="9"/>
      <c r="BI150" s="9"/>
      <c r="BJ150" s="9"/>
    </row>
    <row r="151" spans="2:62" x14ac:dyDescent="0.2">
      <c r="C151" s="96" t="s">
        <v>220</v>
      </c>
      <c r="D151" s="8">
        <f>D113</f>
        <v>98.7</v>
      </c>
      <c r="E151" s="8"/>
      <c r="F151" s="8">
        <f>F113</f>
        <v>0</v>
      </c>
      <c r="G151" s="8"/>
      <c r="H151" s="8">
        <f>H113</f>
        <v>0</v>
      </c>
      <c r="I151" s="8"/>
      <c r="J151" s="8">
        <f>J113</f>
        <v>0</v>
      </c>
      <c r="K151" s="8"/>
      <c r="L151" s="8">
        <f>L113</f>
        <v>0</v>
      </c>
      <c r="M151" s="8"/>
      <c r="N151" s="8">
        <f>N113</f>
        <v>0</v>
      </c>
      <c r="O151" s="19"/>
      <c r="P151" s="8">
        <f>P113</f>
        <v>0</v>
      </c>
      <c r="Q151" s="19"/>
      <c r="R151" s="8">
        <v>0</v>
      </c>
      <c r="S151" s="9"/>
      <c r="T151" s="8">
        <v>1067</v>
      </c>
      <c r="U151" s="94"/>
      <c r="V151" s="8">
        <v>0</v>
      </c>
      <c r="W151" s="123">
        <f>W113</f>
        <v>0</v>
      </c>
      <c r="X151" s="8">
        <v>0</v>
      </c>
      <c r="Y151" s="8">
        <f>Y113</f>
        <v>0</v>
      </c>
      <c r="Z151" s="8">
        <v>0</v>
      </c>
      <c r="AA151" s="8">
        <f t="shared" ref="AA151:AX151" si="86">AA113</f>
        <v>0</v>
      </c>
      <c r="AB151" s="8">
        <f t="shared" si="86"/>
        <v>0</v>
      </c>
      <c r="AC151" s="8">
        <f t="shared" si="86"/>
        <v>0</v>
      </c>
      <c r="AD151" s="8">
        <f t="shared" si="86"/>
        <v>0</v>
      </c>
      <c r="AE151" s="8">
        <f t="shared" si="86"/>
        <v>0</v>
      </c>
      <c r="AF151" s="8">
        <f t="shared" si="86"/>
        <v>0</v>
      </c>
      <c r="AG151" s="8">
        <f t="shared" si="86"/>
        <v>0</v>
      </c>
      <c r="AH151" s="8">
        <f t="shared" si="86"/>
        <v>0</v>
      </c>
      <c r="AI151" s="8">
        <f t="shared" si="86"/>
        <v>0</v>
      </c>
      <c r="AJ151" s="8">
        <f t="shared" si="86"/>
        <v>0</v>
      </c>
      <c r="AK151" s="8">
        <f t="shared" si="86"/>
        <v>0</v>
      </c>
      <c r="AL151" s="8">
        <f t="shared" si="86"/>
        <v>0</v>
      </c>
      <c r="AM151" s="8">
        <f t="shared" si="86"/>
        <v>0</v>
      </c>
      <c r="AN151" s="8">
        <f t="shared" si="86"/>
        <v>0</v>
      </c>
      <c r="AO151" s="8">
        <f t="shared" si="86"/>
        <v>0</v>
      </c>
      <c r="AP151" s="8">
        <f t="shared" si="86"/>
        <v>0</v>
      </c>
      <c r="AQ151" s="8">
        <f t="shared" si="86"/>
        <v>0</v>
      </c>
      <c r="AR151" s="8">
        <f t="shared" si="86"/>
        <v>0</v>
      </c>
      <c r="AS151" s="8">
        <f t="shared" si="86"/>
        <v>0</v>
      </c>
      <c r="AT151" s="8">
        <f t="shared" si="86"/>
        <v>0</v>
      </c>
      <c r="AU151" s="8">
        <f t="shared" si="86"/>
        <v>0</v>
      </c>
      <c r="AV151" s="8">
        <f t="shared" si="86"/>
        <v>0</v>
      </c>
      <c r="AW151" s="8">
        <f t="shared" si="86"/>
        <v>0</v>
      </c>
      <c r="AX151" s="8">
        <f t="shared" si="86"/>
        <v>0</v>
      </c>
      <c r="BA151" s="9"/>
      <c r="BB151" s="9"/>
      <c r="BC151" s="9"/>
      <c r="BD151" s="9"/>
      <c r="BE151" s="9"/>
      <c r="BF151" s="9"/>
      <c r="BG151" s="9"/>
      <c r="BH151" s="9"/>
      <c r="BI151" s="9"/>
      <c r="BJ151" s="9"/>
    </row>
    <row r="152" spans="2:62" x14ac:dyDescent="0.2">
      <c r="C152" s="96" t="s">
        <v>221</v>
      </c>
      <c r="D152" s="8">
        <f>D114</f>
        <v>0</v>
      </c>
      <c r="E152" s="8"/>
      <c r="F152" s="8">
        <f>F114</f>
        <v>0</v>
      </c>
      <c r="G152" s="8"/>
      <c r="H152" s="8">
        <f>H114</f>
        <v>0</v>
      </c>
      <c r="I152" s="8"/>
      <c r="J152" s="8">
        <f>J114</f>
        <v>0</v>
      </c>
      <c r="K152" s="8"/>
      <c r="L152" s="8">
        <f>L114</f>
        <v>0</v>
      </c>
      <c r="M152" s="8"/>
      <c r="N152" s="8">
        <f>N114</f>
        <v>0</v>
      </c>
      <c r="O152" s="19"/>
      <c r="P152" s="8">
        <f>P114</f>
        <v>0</v>
      </c>
      <c r="Q152" s="19"/>
      <c r="R152" s="8">
        <f>R114</f>
        <v>0</v>
      </c>
      <c r="S152" s="9"/>
      <c r="T152" s="8">
        <f>T114</f>
        <v>0</v>
      </c>
      <c r="U152" s="94"/>
      <c r="V152" s="8">
        <f>V114</f>
        <v>586</v>
      </c>
      <c r="W152" s="8">
        <f>W114</f>
        <v>591</v>
      </c>
      <c r="X152" s="8">
        <f>X114</f>
        <v>657</v>
      </c>
      <c r="Y152" s="8">
        <f>Y114</f>
        <v>0</v>
      </c>
      <c r="Z152" s="8">
        <f>Z114</f>
        <v>0</v>
      </c>
      <c r="AA152" s="8">
        <f t="shared" ref="AA152:AX152" si="87">AA114</f>
        <v>0</v>
      </c>
      <c r="AB152" s="8">
        <f t="shared" si="87"/>
        <v>-5</v>
      </c>
      <c r="AC152" s="8">
        <f t="shared" si="87"/>
        <v>1</v>
      </c>
      <c r="AD152" s="8">
        <f t="shared" si="87"/>
        <v>29</v>
      </c>
      <c r="AE152" s="8">
        <f t="shared" si="87"/>
        <v>46</v>
      </c>
      <c r="AF152" s="8">
        <f t="shared" si="87"/>
        <v>104</v>
      </c>
      <c r="AG152" s="8">
        <f t="shared" si="87"/>
        <v>137</v>
      </c>
      <c r="AH152" s="8">
        <f t="shared" si="87"/>
        <v>-295</v>
      </c>
      <c r="AI152" s="8">
        <f t="shared" si="87"/>
        <v>-63</v>
      </c>
      <c r="AJ152" s="8">
        <f t="shared" si="87"/>
        <v>-1313</v>
      </c>
      <c r="AK152" s="8">
        <f t="shared" si="87"/>
        <v>-656</v>
      </c>
      <c r="AL152" s="8">
        <f t="shared" si="87"/>
        <v>-601</v>
      </c>
      <c r="AM152" s="8">
        <f t="shared" si="87"/>
        <v>-667</v>
      </c>
      <c r="AN152" s="8">
        <f t="shared" si="87"/>
        <v>-733</v>
      </c>
      <c r="AO152" s="8">
        <f t="shared" si="87"/>
        <v>-361</v>
      </c>
      <c r="AP152" s="8">
        <f t="shared" si="87"/>
        <v>-5265</v>
      </c>
      <c r="AQ152" s="8">
        <f t="shared" si="87"/>
        <v>-5565</v>
      </c>
      <c r="AR152" s="8">
        <f t="shared" si="87"/>
        <v>-6324</v>
      </c>
      <c r="AS152" s="8">
        <f t="shared" si="87"/>
        <v>-80</v>
      </c>
      <c r="AT152" s="8">
        <f t="shared" si="87"/>
        <v>-87</v>
      </c>
      <c r="AU152" s="8">
        <f t="shared" si="87"/>
        <v>-140</v>
      </c>
      <c r="AV152" s="8">
        <f t="shared" si="87"/>
        <v>-144</v>
      </c>
      <c r="AW152" s="8">
        <f t="shared" si="87"/>
        <v>66</v>
      </c>
      <c r="AX152" s="8">
        <f t="shared" si="87"/>
        <v>-13</v>
      </c>
      <c r="BA152" s="9"/>
      <c r="BB152" s="9"/>
      <c r="BC152" s="9"/>
      <c r="BD152" s="9"/>
      <c r="BE152" s="9"/>
      <c r="BF152" s="9"/>
      <c r="BG152" s="9"/>
      <c r="BH152" s="9"/>
      <c r="BI152" s="9"/>
      <c r="BJ152" s="9"/>
    </row>
    <row r="153" spans="2:62" x14ac:dyDescent="0.2">
      <c r="C153" s="96" t="s">
        <v>244</v>
      </c>
      <c r="D153" s="8">
        <f>D111</f>
        <v>0</v>
      </c>
      <c r="E153" s="8"/>
      <c r="F153" s="8">
        <f>F111</f>
        <v>0</v>
      </c>
      <c r="G153" s="8"/>
      <c r="H153" s="8">
        <f>H111</f>
        <v>0</v>
      </c>
      <c r="I153" s="8"/>
      <c r="J153" s="8">
        <f>J111</f>
        <v>0</v>
      </c>
      <c r="K153" s="8"/>
      <c r="L153" s="8">
        <f>L111</f>
        <v>0</v>
      </c>
      <c r="M153" s="8"/>
      <c r="N153" s="8">
        <f>N111</f>
        <v>0</v>
      </c>
      <c r="O153" s="19"/>
      <c r="P153" s="8">
        <f>P111</f>
        <v>0</v>
      </c>
      <c r="Q153" s="19"/>
      <c r="R153" s="8">
        <f>R111</f>
        <v>0</v>
      </c>
      <c r="S153" s="9"/>
      <c r="T153" s="8">
        <f>T111</f>
        <v>0</v>
      </c>
      <c r="U153" s="94"/>
      <c r="V153" s="8">
        <f t="shared" ref="V153:AX153" si="88">V111</f>
        <v>0</v>
      </c>
      <c r="W153" s="8">
        <f t="shared" si="88"/>
        <v>0</v>
      </c>
      <c r="X153" s="8">
        <f t="shared" si="88"/>
        <v>0</v>
      </c>
      <c r="Y153" s="8">
        <f t="shared" si="88"/>
        <v>0</v>
      </c>
      <c r="Z153" s="8">
        <f t="shared" si="88"/>
        <v>209</v>
      </c>
      <c r="AA153" s="8">
        <f t="shared" si="88"/>
        <v>674</v>
      </c>
      <c r="AB153" s="8">
        <f t="shared" si="88"/>
        <v>775</v>
      </c>
      <c r="AC153" s="8">
        <f t="shared" si="88"/>
        <v>186</v>
      </c>
      <c r="AD153" s="8">
        <f t="shared" si="88"/>
        <v>242</v>
      </c>
      <c r="AE153" s="8">
        <f t="shared" si="88"/>
        <v>1086</v>
      </c>
      <c r="AF153" s="8">
        <f t="shared" si="88"/>
        <v>4618</v>
      </c>
      <c r="AG153" s="8">
        <f t="shared" si="88"/>
        <v>1285</v>
      </c>
      <c r="AH153" s="8">
        <f t="shared" si="88"/>
        <v>1769</v>
      </c>
      <c r="AI153" s="8">
        <f t="shared" si="88"/>
        <v>2230</v>
      </c>
      <c r="AJ153" s="8">
        <f t="shared" si="88"/>
        <v>2980</v>
      </c>
      <c r="AK153" s="8">
        <f t="shared" si="88"/>
        <v>9</v>
      </c>
      <c r="AL153" s="8">
        <f t="shared" si="88"/>
        <v>-17</v>
      </c>
      <c r="AM153" s="8">
        <f t="shared" si="88"/>
        <v>-6</v>
      </c>
      <c r="AN153" s="8">
        <f t="shared" si="88"/>
        <v>-343</v>
      </c>
      <c r="AO153" s="8">
        <f t="shared" si="88"/>
        <v>-96</v>
      </c>
      <c r="AP153" s="8">
        <f t="shared" si="88"/>
        <v>-63</v>
      </c>
      <c r="AQ153" s="8">
        <f t="shared" si="88"/>
        <v>-62</v>
      </c>
      <c r="AR153" s="8">
        <f t="shared" si="88"/>
        <v>-60</v>
      </c>
      <c r="AS153" s="8">
        <f t="shared" si="88"/>
        <v>0</v>
      </c>
      <c r="AT153" s="8">
        <f t="shared" si="88"/>
        <v>0</v>
      </c>
      <c r="AU153" s="8">
        <f t="shared" si="88"/>
        <v>0</v>
      </c>
      <c r="AV153" s="8">
        <f t="shared" si="88"/>
        <v>-289</v>
      </c>
      <c r="AW153" s="8">
        <f t="shared" si="88"/>
        <v>0</v>
      </c>
      <c r="AX153" s="8">
        <f t="shared" si="88"/>
        <v>0</v>
      </c>
      <c r="BA153" s="9"/>
      <c r="BB153" s="9"/>
      <c r="BC153" s="9"/>
      <c r="BD153" s="9"/>
      <c r="BE153" s="9"/>
      <c r="BF153" s="9"/>
      <c r="BG153" s="9"/>
      <c r="BH153" s="9"/>
      <c r="BI153" s="9"/>
      <c r="BJ153" s="9"/>
    </row>
    <row r="154" spans="2:62" x14ac:dyDescent="0.2">
      <c r="C154" s="96" t="s">
        <v>451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19"/>
      <c r="P154" s="8"/>
      <c r="Q154" s="19"/>
      <c r="R154" s="8"/>
      <c r="S154" s="9"/>
      <c r="T154" s="8"/>
      <c r="U154" s="94"/>
      <c r="V154" s="8"/>
      <c r="W154" s="8"/>
      <c r="X154" s="8">
        <v>1446.4002046301757</v>
      </c>
      <c r="Y154" s="8"/>
      <c r="Z154" s="8"/>
      <c r="AA154" s="8"/>
      <c r="AB154" s="8">
        <v>1359.5326965089007</v>
      </c>
      <c r="AC154" s="8"/>
      <c r="AD154" s="8"/>
      <c r="AE154" s="8"/>
      <c r="AF154" s="8">
        <v>3625.6441568517989</v>
      </c>
      <c r="AG154" s="8"/>
      <c r="AH154" s="8"/>
      <c r="AI154" s="8"/>
      <c r="AJ154" s="8">
        <v>-3037.6787746020905</v>
      </c>
      <c r="AK154" s="8"/>
      <c r="AL154" s="8"/>
      <c r="AM154" s="8"/>
      <c r="AN154" s="8">
        <v>-10173</v>
      </c>
      <c r="AO154" s="8">
        <v>-1354</v>
      </c>
      <c r="AP154" s="8">
        <v>-6732</v>
      </c>
      <c r="AQ154" s="8">
        <v>-9347</v>
      </c>
      <c r="AR154" s="8">
        <v>-9762</v>
      </c>
      <c r="AS154" s="8">
        <v>-5436</v>
      </c>
      <c r="AT154" s="8">
        <v>-14276</v>
      </c>
      <c r="AU154" s="8">
        <v>-26380</v>
      </c>
      <c r="AV154" s="8">
        <v>-40626</v>
      </c>
      <c r="AW154" s="8">
        <v>-10769</v>
      </c>
      <c r="AX154" s="8">
        <v>-18671</v>
      </c>
      <c r="BA154" s="9"/>
      <c r="BB154" s="9"/>
      <c r="BC154" s="9"/>
      <c r="BD154" s="9"/>
      <c r="BE154" s="9"/>
      <c r="BF154" s="9"/>
      <c r="BG154" s="9"/>
      <c r="BH154" s="9"/>
      <c r="BI154" s="9"/>
      <c r="BJ154" s="9"/>
    </row>
    <row r="155" spans="2:62" x14ac:dyDescent="0.2">
      <c r="C155" s="95" t="s">
        <v>222</v>
      </c>
      <c r="D155" s="17">
        <f t="shared" ref="D155:N155" si="89">SUM(D156)</f>
        <v>-33.1</v>
      </c>
      <c r="E155" s="17"/>
      <c r="F155" s="17">
        <f t="shared" si="89"/>
        <v>21.919</v>
      </c>
      <c r="G155" s="17"/>
      <c r="H155" s="17">
        <f t="shared" si="89"/>
        <v>70.299000000000007</v>
      </c>
      <c r="I155" s="17"/>
      <c r="J155" s="17">
        <f t="shared" si="89"/>
        <v>60.118000000000002</v>
      </c>
      <c r="K155" s="17"/>
      <c r="L155" s="17">
        <f t="shared" si="89"/>
        <v>87.938000000000002</v>
      </c>
      <c r="M155" s="17"/>
      <c r="N155" s="17">
        <f t="shared" si="89"/>
        <v>103</v>
      </c>
      <c r="O155" s="19"/>
      <c r="P155" s="17">
        <f>SUM(P156)</f>
        <v>221</v>
      </c>
      <c r="Q155" s="19"/>
      <c r="R155" s="17">
        <f>SUM(R156)</f>
        <v>466</v>
      </c>
      <c r="S155" s="17"/>
      <c r="T155" s="17">
        <f>SUM(T156)</f>
        <v>2670</v>
      </c>
      <c r="U155" s="17"/>
      <c r="V155" s="17">
        <f t="shared" ref="V155:AO155" si="90">SUM(V156:V157)</f>
        <v>651</v>
      </c>
      <c r="W155" s="17">
        <f t="shared" si="90"/>
        <v>995</v>
      </c>
      <c r="X155" s="17">
        <f t="shared" si="90"/>
        <v>770</v>
      </c>
      <c r="Y155" s="17">
        <f t="shared" si="90"/>
        <v>579</v>
      </c>
      <c r="Z155" s="17">
        <f t="shared" si="90"/>
        <v>997</v>
      </c>
      <c r="AA155" s="17">
        <f t="shared" si="90"/>
        <v>1612</v>
      </c>
      <c r="AB155" s="17">
        <f t="shared" si="90"/>
        <v>466.12765829748218</v>
      </c>
      <c r="AC155" s="17">
        <f t="shared" si="90"/>
        <v>7313</v>
      </c>
      <c r="AD155" s="17">
        <f t="shared" si="90"/>
        <v>4151</v>
      </c>
      <c r="AE155" s="17">
        <f t="shared" si="90"/>
        <v>9950</v>
      </c>
      <c r="AF155" s="17">
        <f t="shared" si="90"/>
        <v>5011.8957748065823</v>
      </c>
      <c r="AG155" s="17">
        <f t="shared" si="90"/>
        <v>2281</v>
      </c>
      <c r="AH155" s="17">
        <f t="shared" si="90"/>
        <v>4645</v>
      </c>
      <c r="AI155" s="17">
        <f t="shared" si="90"/>
        <v>6830</v>
      </c>
      <c r="AJ155" s="17">
        <f t="shared" si="90"/>
        <v>3876.6534586748667</v>
      </c>
      <c r="AK155" s="17">
        <f t="shared" si="90"/>
        <v>-11517</v>
      </c>
      <c r="AL155" s="17">
        <f t="shared" si="90"/>
        <v>-58704</v>
      </c>
      <c r="AM155" s="17">
        <f t="shared" si="90"/>
        <v>-46874</v>
      </c>
      <c r="AN155" s="17">
        <f t="shared" si="90"/>
        <v>-37129</v>
      </c>
      <c r="AO155" s="17">
        <f t="shared" si="90"/>
        <v>6483</v>
      </c>
      <c r="AP155" s="17">
        <f t="shared" ref="AP155:AX155" si="91">SUM(AP156:AP157)</f>
        <v>17308</v>
      </c>
      <c r="AQ155" s="17">
        <f t="shared" si="91"/>
        <v>24728</v>
      </c>
      <c r="AR155" s="17">
        <f t="shared" si="91"/>
        <v>19616</v>
      </c>
      <c r="AS155" s="17">
        <f t="shared" si="91"/>
        <v>1272</v>
      </c>
      <c r="AT155" s="17">
        <f t="shared" si="91"/>
        <v>-4418</v>
      </c>
      <c r="AU155" s="17">
        <f t="shared" si="91"/>
        <v>2824</v>
      </c>
      <c r="AV155" s="17">
        <f t="shared" si="91"/>
        <v>12453</v>
      </c>
      <c r="AW155" s="17">
        <f t="shared" si="91"/>
        <v>-17050</v>
      </c>
      <c r="AX155" s="17">
        <f t="shared" si="91"/>
        <v>-21314</v>
      </c>
      <c r="AY155" s="19"/>
      <c r="BA155" s="15"/>
      <c r="BB155" s="15"/>
      <c r="BC155" s="15"/>
      <c r="BD155" s="9"/>
      <c r="BE155" s="9"/>
      <c r="BF155" s="9"/>
      <c r="BG155" s="9"/>
      <c r="BH155" s="9"/>
      <c r="BI155" s="9"/>
      <c r="BJ155" s="9"/>
    </row>
    <row r="156" spans="2:62" x14ac:dyDescent="0.2">
      <c r="C156" s="96" t="s">
        <v>245</v>
      </c>
      <c r="D156" s="8">
        <f>D112</f>
        <v>-33.1</v>
      </c>
      <c r="E156" s="8"/>
      <c r="F156" s="8">
        <f>F112</f>
        <v>21.919</v>
      </c>
      <c r="G156" s="8"/>
      <c r="H156" s="8">
        <f>H112</f>
        <v>70.299000000000007</v>
      </c>
      <c r="I156" s="8"/>
      <c r="J156" s="8">
        <f>J112</f>
        <v>60.118000000000002</v>
      </c>
      <c r="K156" s="8"/>
      <c r="L156" s="8">
        <f>L112</f>
        <v>87.938000000000002</v>
      </c>
      <c r="M156" s="8"/>
      <c r="N156" s="8">
        <f>N112</f>
        <v>103</v>
      </c>
      <c r="O156" s="19"/>
      <c r="P156" s="8">
        <f>P112</f>
        <v>221</v>
      </c>
      <c r="Q156" s="19"/>
      <c r="R156" s="8">
        <v>466</v>
      </c>
      <c r="S156" s="9"/>
      <c r="T156" s="8">
        <v>2670</v>
      </c>
      <c r="U156" s="94"/>
      <c r="V156" s="8">
        <v>651</v>
      </c>
      <c r="W156" s="123">
        <f>W112</f>
        <v>995</v>
      </c>
      <c r="X156" s="8">
        <v>770</v>
      </c>
      <c r="Y156" s="8">
        <f>Y112</f>
        <v>579</v>
      </c>
      <c r="Z156" s="8">
        <v>997</v>
      </c>
      <c r="AA156" s="8">
        <f t="shared" ref="AA156:AX156" si="92">AA112</f>
        <v>1612</v>
      </c>
      <c r="AB156" s="8">
        <f t="shared" si="92"/>
        <v>1892</v>
      </c>
      <c r="AC156" s="8">
        <f t="shared" si="92"/>
        <v>7313</v>
      </c>
      <c r="AD156" s="8">
        <f t="shared" si="92"/>
        <v>4151</v>
      </c>
      <c r="AE156" s="8">
        <f t="shared" si="92"/>
        <v>9950</v>
      </c>
      <c r="AF156" s="8">
        <f t="shared" si="92"/>
        <v>9602</v>
      </c>
      <c r="AG156" s="8">
        <f t="shared" si="92"/>
        <v>2281</v>
      </c>
      <c r="AH156" s="8">
        <f t="shared" si="92"/>
        <v>4645</v>
      </c>
      <c r="AI156" s="8">
        <f t="shared" si="92"/>
        <v>6830</v>
      </c>
      <c r="AJ156" s="8">
        <f t="shared" si="92"/>
        <v>9004</v>
      </c>
      <c r="AK156" s="8">
        <f t="shared" si="92"/>
        <v>-11517</v>
      </c>
      <c r="AL156" s="8">
        <f t="shared" si="92"/>
        <v>-58704</v>
      </c>
      <c r="AM156" s="8">
        <f t="shared" si="92"/>
        <v>-46874</v>
      </c>
      <c r="AN156" s="8">
        <f t="shared" si="92"/>
        <v>-29792</v>
      </c>
      <c r="AO156" s="8">
        <f t="shared" si="92"/>
        <v>7774</v>
      </c>
      <c r="AP156" s="8">
        <f t="shared" si="92"/>
        <v>19387</v>
      </c>
      <c r="AQ156" s="8">
        <f t="shared" si="92"/>
        <v>28542</v>
      </c>
      <c r="AR156" s="8">
        <f t="shared" si="92"/>
        <v>25051</v>
      </c>
      <c r="AS156" s="8">
        <f t="shared" si="92"/>
        <v>3097</v>
      </c>
      <c r="AT156" s="8">
        <f t="shared" si="92"/>
        <v>-955</v>
      </c>
      <c r="AU156" s="8">
        <f t="shared" si="92"/>
        <v>9987</v>
      </c>
      <c r="AV156" s="8">
        <f t="shared" si="92"/>
        <v>21495</v>
      </c>
      <c r="AW156" s="8">
        <f t="shared" si="92"/>
        <v>-14899</v>
      </c>
      <c r="AX156" s="8">
        <f t="shared" si="92"/>
        <v>-15670</v>
      </c>
      <c r="BA156" s="9"/>
      <c r="BB156" s="9"/>
      <c r="BC156" s="9"/>
      <c r="BD156" s="9"/>
      <c r="BE156" s="9"/>
      <c r="BF156" s="9"/>
      <c r="BG156" s="9"/>
      <c r="BH156" s="9"/>
      <c r="BI156" s="9"/>
      <c r="BJ156" s="9"/>
    </row>
    <row r="157" spans="2:62" x14ac:dyDescent="0.2">
      <c r="C157" s="96" t="s">
        <v>451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19"/>
      <c r="P157" s="8"/>
      <c r="Q157" s="19"/>
      <c r="R157" s="8"/>
      <c r="S157" s="9"/>
      <c r="T157" s="8"/>
      <c r="U157" s="94"/>
      <c r="V157" s="8"/>
      <c r="W157" s="123"/>
      <c r="X157" s="8">
        <v>0</v>
      </c>
      <c r="Y157" s="8"/>
      <c r="Z157" s="8"/>
      <c r="AA157" s="8"/>
      <c r="AB157" s="8">
        <v>-1425.8723417025178</v>
      </c>
      <c r="AC157" s="8"/>
      <c r="AD157" s="8"/>
      <c r="AE157" s="8"/>
      <c r="AF157" s="8">
        <v>-4590.1042251934177</v>
      </c>
      <c r="AG157" s="8"/>
      <c r="AH157" s="8"/>
      <c r="AI157" s="8"/>
      <c r="AJ157" s="8">
        <v>-5127.3465413251333</v>
      </c>
      <c r="AK157" s="8"/>
      <c r="AL157" s="8"/>
      <c r="AM157" s="8"/>
      <c r="AN157" s="8">
        <v>-7337</v>
      </c>
      <c r="AO157" s="8">
        <v>-1291</v>
      </c>
      <c r="AP157" s="8">
        <v>-2079</v>
      </c>
      <c r="AQ157" s="8">
        <v>-3814</v>
      </c>
      <c r="AR157" s="8">
        <v>-5435</v>
      </c>
      <c r="AS157" s="8">
        <v>-1825</v>
      </c>
      <c r="AT157" s="8">
        <v>-3463</v>
      </c>
      <c r="AU157" s="8">
        <v>-7163</v>
      </c>
      <c r="AV157" s="8">
        <v>-9042</v>
      </c>
      <c r="AW157" s="8">
        <v>-2151</v>
      </c>
      <c r="AX157" s="8">
        <v>-5644</v>
      </c>
      <c r="AY157" s="19"/>
      <c r="BA157" s="9"/>
      <c r="BB157" s="9"/>
      <c r="BC157" s="9"/>
      <c r="BD157" s="9"/>
      <c r="BE157" s="9"/>
      <c r="BF157" s="9"/>
      <c r="BG157" s="9"/>
      <c r="BH157" s="9"/>
      <c r="BI157" s="9"/>
      <c r="BJ157" s="9"/>
    </row>
    <row r="158" spans="2:62" x14ac:dyDescent="0.2">
      <c r="C158" s="95" t="s">
        <v>223</v>
      </c>
      <c r="D158" s="17">
        <f t="shared" ref="D158" si="93">SUM(D159:D166)</f>
        <v>109</v>
      </c>
      <c r="E158" s="17"/>
      <c r="F158" s="17">
        <f>SUM(F159:F166)</f>
        <v>-49.087999999999994</v>
      </c>
      <c r="G158" s="17"/>
      <c r="H158" s="17">
        <f>SUM(H159:H166)</f>
        <v>53.757000000000005</v>
      </c>
      <c r="I158" s="17"/>
      <c r="J158" s="17">
        <f>SUM(J159:J166)</f>
        <v>294.45099999999996</v>
      </c>
      <c r="K158" s="17"/>
      <c r="L158" s="17">
        <f>SUM(L159:L166)</f>
        <v>137.285</v>
      </c>
      <c r="M158" s="17"/>
      <c r="N158" s="17">
        <f>SUM(N159:N166)</f>
        <v>2070</v>
      </c>
      <c r="O158" s="19"/>
      <c r="P158" s="17">
        <f>SUM(P159:P166)</f>
        <v>199</v>
      </c>
      <c r="Q158" s="19"/>
      <c r="R158" s="17">
        <f>SUM(R159:R166)</f>
        <v>5004</v>
      </c>
      <c r="S158" s="17"/>
      <c r="T158" s="17">
        <f>SUM(T159:T166)</f>
        <v>1442</v>
      </c>
      <c r="U158" s="17"/>
      <c r="V158" s="17">
        <f>SUM(V159:V166)</f>
        <v>3374</v>
      </c>
      <c r="W158" s="17">
        <f>SUM(W159:W166)</f>
        <v>3314</v>
      </c>
      <c r="X158" s="17">
        <f>SUM(X159:X166)</f>
        <v>3302</v>
      </c>
      <c r="Y158" s="17">
        <f>SUM(Y159:Y166)</f>
        <v>213</v>
      </c>
      <c r="Z158" s="17">
        <f>SUM(Z159:Z166)</f>
        <v>343.911</v>
      </c>
      <c r="AA158" s="17">
        <f t="shared" ref="AA158:AF158" si="94">SUM(AA159:AA166)</f>
        <v>417.00000000000011</v>
      </c>
      <c r="AB158" s="17">
        <f t="shared" si="94"/>
        <v>788</v>
      </c>
      <c r="AC158" s="17">
        <f t="shared" si="94"/>
        <v>541</v>
      </c>
      <c r="AD158" s="17">
        <f t="shared" si="94"/>
        <v>591</v>
      </c>
      <c r="AE158" s="17">
        <f t="shared" si="94"/>
        <v>720</v>
      </c>
      <c r="AF158" s="17">
        <f t="shared" si="94"/>
        <v>946</v>
      </c>
      <c r="AG158" s="17">
        <f t="shared" ref="AG158:AJ158" si="95">SUM(AG159:AG166)</f>
        <v>827</v>
      </c>
      <c r="AH158" s="17">
        <f t="shared" si="95"/>
        <v>3531</v>
      </c>
      <c r="AI158" s="17">
        <f t="shared" si="95"/>
        <v>3712</v>
      </c>
      <c r="AJ158" s="17">
        <f t="shared" si="95"/>
        <v>4543</v>
      </c>
      <c r="AK158" s="17">
        <f t="shared" ref="AK158:AL158" si="96">SUM(AK159:AK166)</f>
        <v>504</v>
      </c>
      <c r="AL158" s="17">
        <f t="shared" si="96"/>
        <v>-803</v>
      </c>
      <c r="AM158" s="17">
        <f t="shared" ref="AM158" si="97">SUM(AM159:AM166)</f>
        <v>-149</v>
      </c>
      <c r="AN158" s="17">
        <f>SUM(AN159:AN166)</f>
        <v>-5527</v>
      </c>
      <c r="AO158" s="17">
        <f t="shared" ref="AO158:AP158" si="98">SUM(AO159:AO166)</f>
        <v>274</v>
      </c>
      <c r="AP158" s="17">
        <f t="shared" si="98"/>
        <v>871</v>
      </c>
      <c r="AQ158" s="17">
        <f t="shared" ref="AQ158:AR158" si="99">SUM(AQ159:AQ166)</f>
        <v>3473</v>
      </c>
      <c r="AR158" s="17">
        <f t="shared" si="99"/>
        <v>3929</v>
      </c>
      <c r="AS158" s="17">
        <f t="shared" ref="AS158" si="100">SUM(AS159:AS166)</f>
        <v>11927</v>
      </c>
      <c r="AT158" s="17">
        <f>SUM(AT159:AT166)</f>
        <v>17511</v>
      </c>
      <c r="AU158" s="17">
        <f>SUM(AU159:AU166)</f>
        <v>20004</v>
      </c>
      <c r="AV158" s="17">
        <f>SUM(AV159:AV166)</f>
        <v>19778</v>
      </c>
      <c r="AW158" s="17">
        <f>SUM(AW159:AW166)</f>
        <v>9377</v>
      </c>
      <c r="AX158" s="17">
        <f>SUM(AX159:AX166)</f>
        <v>10880</v>
      </c>
      <c r="AY158" s="19"/>
      <c r="BA158" s="15"/>
      <c r="BB158" s="15"/>
      <c r="BC158" s="15"/>
      <c r="BD158" s="9"/>
      <c r="BE158" s="9"/>
      <c r="BF158" s="9"/>
      <c r="BG158" s="9"/>
      <c r="BH158" s="9"/>
      <c r="BI158" s="9"/>
      <c r="BJ158" s="9"/>
    </row>
    <row r="159" spans="2:62" x14ac:dyDescent="0.2">
      <c r="C159" s="96" t="s">
        <v>224</v>
      </c>
      <c r="D159" s="8">
        <f>D117</f>
        <v>0</v>
      </c>
      <c r="E159" s="8"/>
      <c r="F159" s="8">
        <f>F117</f>
        <v>0</v>
      </c>
      <c r="G159" s="8"/>
      <c r="H159" s="8">
        <f>H117</f>
        <v>0</v>
      </c>
      <c r="I159" s="8"/>
      <c r="J159" s="8">
        <f>J117</f>
        <v>0</v>
      </c>
      <c r="K159" s="8"/>
      <c r="L159" s="8">
        <f>L117</f>
        <v>0</v>
      </c>
      <c r="M159" s="8"/>
      <c r="N159" s="8">
        <f>N117</f>
        <v>2507</v>
      </c>
      <c r="O159" s="19"/>
      <c r="P159" s="8">
        <f>P117</f>
        <v>0</v>
      </c>
      <c r="Q159" s="19"/>
      <c r="R159" s="8">
        <v>2321</v>
      </c>
      <c r="S159" s="9"/>
      <c r="T159" s="8">
        <v>0</v>
      </c>
      <c r="U159" s="94"/>
      <c r="V159" s="8">
        <v>3186</v>
      </c>
      <c r="W159" s="123">
        <f>W117</f>
        <v>3186</v>
      </c>
      <c r="X159" s="8">
        <v>3186</v>
      </c>
      <c r="Y159" s="8">
        <f>Y117</f>
        <v>0</v>
      </c>
      <c r="Z159" s="8">
        <v>0</v>
      </c>
      <c r="AA159" s="8">
        <f t="shared" ref="AA159:AX159" si="101">AA117</f>
        <v>0</v>
      </c>
      <c r="AB159" s="8">
        <f t="shared" si="101"/>
        <v>0</v>
      </c>
      <c r="AC159" s="8">
        <f t="shared" si="101"/>
        <v>432</v>
      </c>
      <c r="AD159" s="8">
        <f t="shared" si="101"/>
        <v>432</v>
      </c>
      <c r="AE159" s="8">
        <f t="shared" si="101"/>
        <v>432</v>
      </c>
      <c r="AF159" s="8">
        <f t="shared" si="101"/>
        <v>582</v>
      </c>
      <c r="AG159" s="8">
        <f t="shared" si="101"/>
        <v>629</v>
      </c>
      <c r="AH159" s="8">
        <f t="shared" si="101"/>
        <v>2585</v>
      </c>
      <c r="AI159" s="8">
        <f t="shared" si="101"/>
        <v>2585</v>
      </c>
      <c r="AJ159" s="8">
        <f t="shared" si="101"/>
        <v>2585</v>
      </c>
      <c r="AK159" s="8">
        <f t="shared" si="101"/>
        <v>240</v>
      </c>
      <c r="AL159" s="8">
        <f t="shared" si="101"/>
        <v>240</v>
      </c>
      <c r="AM159" s="8">
        <f t="shared" si="101"/>
        <v>240</v>
      </c>
      <c r="AN159" s="8">
        <f t="shared" si="101"/>
        <v>240</v>
      </c>
      <c r="AO159" s="8">
        <f t="shared" si="101"/>
        <v>0</v>
      </c>
      <c r="AP159" s="8">
        <f t="shared" si="101"/>
        <v>0</v>
      </c>
      <c r="AQ159" s="8">
        <f t="shared" si="101"/>
        <v>0</v>
      </c>
      <c r="AR159" s="8">
        <f t="shared" si="101"/>
        <v>0</v>
      </c>
      <c r="AS159" s="8">
        <f t="shared" si="101"/>
        <v>14612</v>
      </c>
      <c r="AT159" s="8">
        <f t="shared" si="101"/>
        <v>15343</v>
      </c>
      <c r="AU159" s="8">
        <f t="shared" si="101"/>
        <v>18527</v>
      </c>
      <c r="AV159" s="8">
        <f t="shared" si="101"/>
        <v>18342</v>
      </c>
      <c r="AW159" s="8">
        <f t="shared" si="101"/>
        <v>5664</v>
      </c>
      <c r="AX159" s="8">
        <f t="shared" si="101"/>
        <v>5767</v>
      </c>
      <c r="AY159" s="19"/>
      <c r="BA159" s="19"/>
      <c r="BB159" s="15"/>
      <c r="BC159" s="15"/>
      <c r="BD159" s="9"/>
      <c r="BE159" s="9"/>
      <c r="BF159" s="9"/>
      <c r="BG159" s="9"/>
      <c r="BH159" s="9"/>
      <c r="BI159" s="9"/>
      <c r="BJ159" s="9"/>
    </row>
    <row r="160" spans="2:62" x14ac:dyDescent="0.2">
      <c r="C160" s="96" t="s">
        <v>225</v>
      </c>
      <c r="D160" s="8">
        <f>D119</f>
        <v>0</v>
      </c>
      <c r="E160" s="8"/>
      <c r="F160" s="8">
        <f>F119</f>
        <v>0</v>
      </c>
      <c r="G160" s="8"/>
      <c r="H160" s="8">
        <f>H119</f>
        <v>0</v>
      </c>
      <c r="I160" s="8"/>
      <c r="J160" s="8">
        <f>J119</f>
        <v>0</v>
      </c>
      <c r="K160" s="8"/>
      <c r="L160" s="8">
        <f>L119</f>
        <v>0</v>
      </c>
      <c r="M160" s="8"/>
      <c r="N160" s="8">
        <f>N119</f>
        <v>0</v>
      </c>
      <c r="O160" s="19"/>
      <c r="P160" s="8">
        <f>P119</f>
        <v>0</v>
      </c>
      <c r="Q160" s="19"/>
      <c r="R160" s="8">
        <v>2306</v>
      </c>
      <c r="S160" s="9"/>
      <c r="T160" s="8">
        <v>0</v>
      </c>
      <c r="U160" s="94"/>
      <c r="V160" s="8">
        <v>0</v>
      </c>
      <c r="W160" s="123">
        <f>W119</f>
        <v>0</v>
      </c>
      <c r="X160" s="8">
        <v>0</v>
      </c>
      <c r="Y160" s="8">
        <f>Y119</f>
        <v>0</v>
      </c>
      <c r="Z160" s="8">
        <v>0</v>
      </c>
      <c r="AA160" s="8">
        <f t="shared" ref="AA160:AX160" si="102">AA119</f>
        <v>0</v>
      </c>
      <c r="AB160" s="8">
        <f t="shared" si="102"/>
        <v>488</v>
      </c>
      <c r="AC160" s="8">
        <f t="shared" si="102"/>
        <v>0</v>
      </c>
      <c r="AD160" s="8">
        <f t="shared" si="102"/>
        <v>0</v>
      </c>
      <c r="AE160" s="8">
        <f t="shared" si="102"/>
        <v>0</v>
      </c>
      <c r="AF160" s="8">
        <f t="shared" si="102"/>
        <v>0</v>
      </c>
      <c r="AG160" s="8">
        <f t="shared" si="102"/>
        <v>0</v>
      </c>
      <c r="AH160" s="8">
        <f t="shared" si="102"/>
        <v>0</v>
      </c>
      <c r="AI160" s="8">
        <f t="shared" si="102"/>
        <v>0</v>
      </c>
      <c r="AJ160" s="8">
        <f t="shared" si="102"/>
        <v>0</v>
      </c>
      <c r="AK160" s="8">
        <f t="shared" si="102"/>
        <v>0</v>
      </c>
      <c r="AL160" s="8">
        <f t="shared" si="102"/>
        <v>0</v>
      </c>
      <c r="AM160" s="8">
        <f t="shared" si="102"/>
        <v>0</v>
      </c>
      <c r="AN160" s="8">
        <f t="shared" si="102"/>
        <v>0</v>
      </c>
      <c r="AO160" s="8">
        <f t="shared" si="102"/>
        <v>0</v>
      </c>
      <c r="AP160" s="8">
        <f t="shared" si="102"/>
        <v>0</v>
      </c>
      <c r="AQ160" s="8">
        <f t="shared" si="102"/>
        <v>0</v>
      </c>
      <c r="AR160" s="8">
        <f t="shared" si="102"/>
        <v>0</v>
      </c>
      <c r="AS160" s="8">
        <f t="shared" si="102"/>
        <v>0</v>
      </c>
      <c r="AT160" s="8">
        <f t="shared" si="102"/>
        <v>4653</v>
      </c>
      <c r="AU160" s="8">
        <f t="shared" si="102"/>
        <v>4653</v>
      </c>
      <c r="AV160" s="8">
        <f t="shared" si="102"/>
        <v>4698</v>
      </c>
      <c r="AW160" s="8">
        <f t="shared" si="102"/>
        <v>2936</v>
      </c>
      <c r="AX160" s="8">
        <f t="shared" si="102"/>
        <v>2936</v>
      </c>
      <c r="AY160" s="19"/>
      <c r="BA160" s="9"/>
      <c r="BB160" s="9"/>
      <c r="BC160" s="9"/>
      <c r="BD160" s="9"/>
      <c r="BE160" s="9"/>
      <c r="BF160" s="9"/>
      <c r="BG160" s="9"/>
      <c r="BH160" s="9"/>
      <c r="BI160" s="9"/>
      <c r="BJ160" s="9"/>
    </row>
    <row r="161" spans="3:62" x14ac:dyDescent="0.2">
      <c r="C161" s="97" t="s">
        <v>92</v>
      </c>
      <c r="D161" s="8">
        <f>D128</f>
        <v>0</v>
      </c>
      <c r="E161" s="8"/>
      <c r="F161" s="8">
        <f>F128</f>
        <v>0</v>
      </c>
      <c r="G161" s="8"/>
      <c r="H161" s="8">
        <f>H128</f>
        <v>0</v>
      </c>
      <c r="I161" s="8"/>
      <c r="J161" s="8">
        <f>J128</f>
        <v>0</v>
      </c>
      <c r="K161" s="8"/>
      <c r="L161" s="8">
        <f>L128</f>
        <v>0</v>
      </c>
      <c r="M161" s="8"/>
      <c r="N161" s="8">
        <f>N128</f>
        <v>0</v>
      </c>
      <c r="O161" s="19"/>
      <c r="P161" s="8">
        <f>P128</f>
        <v>0</v>
      </c>
      <c r="Q161" s="19"/>
      <c r="R161" s="8">
        <v>0</v>
      </c>
      <c r="S161" s="9"/>
      <c r="T161" s="8">
        <v>1089</v>
      </c>
      <c r="U161" s="94"/>
      <c r="V161" s="8">
        <v>0</v>
      </c>
      <c r="W161" s="123">
        <f>W128</f>
        <v>0</v>
      </c>
      <c r="X161" s="8">
        <v>0</v>
      </c>
      <c r="Y161" s="8">
        <f>Y128</f>
        <v>0</v>
      </c>
      <c r="Z161" s="8">
        <v>0</v>
      </c>
      <c r="AA161" s="8">
        <f t="shared" ref="AA161:AX161" si="103">AA128</f>
        <v>0</v>
      </c>
      <c r="AB161" s="8">
        <f t="shared" si="103"/>
        <v>0</v>
      </c>
      <c r="AC161" s="8">
        <f t="shared" si="103"/>
        <v>0</v>
      </c>
      <c r="AD161" s="8">
        <f t="shared" si="103"/>
        <v>0</v>
      </c>
      <c r="AE161" s="8">
        <f t="shared" si="103"/>
        <v>0</v>
      </c>
      <c r="AF161" s="8">
        <f t="shared" si="103"/>
        <v>0</v>
      </c>
      <c r="AG161" s="8">
        <f t="shared" si="103"/>
        <v>0</v>
      </c>
      <c r="AH161" s="8">
        <f t="shared" si="103"/>
        <v>0</v>
      </c>
      <c r="AI161" s="8">
        <f t="shared" si="103"/>
        <v>0</v>
      </c>
      <c r="AJ161" s="8">
        <f t="shared" si="103"/>
        <v>0</v>
      </c>
      <c r="AK161" s="8">
        <f t="shared" si="103"/>
        <v>0</v>
      </c>
      <c r="AL161" s="8">
        <f t="shared" si="103"/>
        <v>0</v>
      </c>
      <c r="AM161" s="8">
        <f t="shared" si="103"/>
        <v>0</v>
      </c>
      <c r="AN161" s="8">
        <f t="shared" si="103"/>
        <v>0</v>
      </c>
      <c r="AO161" s="8">
        <f t="shared" si="103"/>
        <v>0</v>
      </c>
      <c r="AP161" s="8">
        <f t="shared" si="103"/>
        <v>0</v>
      </c>
      <c r="AQ161" s="8">
        <f t="shared" si="103"/>
        <v>0</v>
      </c>
      <c r="AR161" s="8">
        <f t="shared" si="103"/>
        <v>0</v>
      </c>
      <c r="AS161" s="8">
        <f t="shared" si="103"/>
        <v>0</v>
      </c>
      <c r="AT161" s="8">
        <f t="shared" si="103"/>
        <v>0</v>
      </c>
      <c r="AU161" s="8">
        <f t="shared" si="103"/>
        <v>0</v>
      </c>
      <c r="AV161" s="8">
        <f t="shared" si="103"/>
        <v>0</v>
      </c>
      <c r="AW161" s="8">
        <f t="shared" si="103"/>
        <v>0</v>
      </c>
      <c r="AX161" s="8">
        <f t="shared" si="103"/>
        <v>0</v>
      </c>
      <c r="BA161" s="9"/>
      <c r="BB161" s="9"/>
      <c r="BC161" s="9"/>
      <c r="BD161" s="9"/>
      <c r="BE161" s="9"/>
      <c r="BF161" s="9"/>
      <c r="BG161" s="9"/>
      <c r="BH161" s="9"/>
      <c r="BI161" s="9"/>
      <c r="BJ161" s="9"/>
    </row>
    <row r="162" spans="3:62" x14ac:dyDescent="0.2">
      <c r="C162" s="96" t="s">
        <v>163</v>
      </c>
      <c r="D162" s="8">
        <f>D124</f>
        <v>0</v>
      </c>
      <c r="E162" s="8"/>
      <c r="F162" s="8">
        <f>F124</f>
        <v>2.423</v>
      </c>
      <c r="G162" s="8"/>
      <c r="H162" s="8">
        <f>H124</f>
        <v>13.412000000000001</v>
      </c>
      <c r="I162" s="8"/>
      <c r="J162" s="8">
        <f>J124</f>
        <v>5.4960000000000004</v>
      </c>
      <c r="K162" s="8"/>
      <c r="L162" s="8">
        <f>L124</f>
        <v>10.233000000000001</v>
      </c>
      <c r="M162" s="8"/>
      <c r="N162" s="8">
        <f>N124</f>
        <v>4</v>
      </c>
      <c r="O162" s="19"/>
      <c r="P162" s="8">
        <f>P123</f>
        <v>0</v>
      </c>
      <c r="Q162" s="19"/>
      <c r="R162" s="8">
        <v>0</v>
      </c>
      <c r="S162" s="9"/>
      <c r="T162" s="8">
        <v>106</v>
      </c>
      <c r="U162" s="94"/>
      <c r="V162" s="8">
        <v>0</v>
      </c>
      <c r="W162" s="123">
        <f>W123</f>
        <v>0</v>
      </c>
      <c r="X162" s="8">
        <v>0</v>
      </c>
      <c r="Y162" s="8">
        <f>Y123</f>
        <v>0</v>
      </c>
      <c r="Z162" s="8">
        <v>0</v>
      </c>
      <c r="AA162" s="8">
        <f t="shared" ref="AA162:AX162" si="104">AA123</f>
        <v>0</v>
      </c>
      <c r="AB162" s="8">
        <f t="shared" si="104"/>
        <v>0</v>
      </c>
      <c r="AC162" s="8">
        <f t="shared" si="104"/>
        <v>0</v>
      </c>
      <c r="AD162" s="8">
        <f t="shared" si="104"/>
        <v>0</v>
      </c>
      <c r="AE162" s="8">
        <f t="shared" si="104"/>
        <v>0</v>
      </c>
      <c r="AF162" s="8">
        <f t="shared" si="104"/>
        <v>0</v>
      </c>
      <c r="AG162" s="8">
        <f t="shared" si="104"/>
        <v>0</v>
      </c>
      <c r="AH162" s="8">
        <f t="shared" si="104"/>
        <v>0</v>
      </c>
      <c r="AI162" s="8">
        <f t="shared" si="104"/>
        <v>0</v>
      </c>
      <c r="AJ162" s="8">
        <f t="shared" si="104"/>
        <v>0</v>
      </c>
      <c r="AK162" s="8">
        <f t="shared" si="104"/>
        <v>0</v>
      </c>
      <c r="AL162" s="8">
        <f t="shared" si="104"/>
        <v>0</v>
      </c>
      <c r="AM162" s="8">
        <f t="shared" si="104"/>
        <v>0</v>
      </c>
      <c r="AN162" s="8">
        <f t="shared" si="104"/>
        <v>0</v>
      </c>
      <c r="AO162" s="8">
        <f t="shared" si="104"/>
        <v>0</v>
      </c>
      <c r="AP162" s="8">
        <f t="shared" si="104"/>
        <v>0</v>
      </c>
      <c r="AQ162" s="8">
        <f t="shared" si="104"/>
        <v>0</v>
      </c>
      <c r="AR162" s="8">
        <f t="shared" si="104"/>
        <v>0</v>
      </c>
      <c r="AS162" s="8">
        <f t="shared" si="104"/>
        <v>2260</v>
      </c>
      <c r="AT162" s="8">
        <f t="shared" si="104"/>
        <v>2260</v>
      </c>
      <c r="AU162" s="8">
        <f t="shared" si="104"/>
        <v>2260</v>
      </c>
      <c r="AV162" s="8">
        <f t="shared" si="104"/>
        <v>4676</v>
      </c>
      <c r="AW162" s="8">
        <f t="shared" si="104"/>
        <v>28</v>
      </c>
      <c r="AX162" s="8">
        <f t="shared" si="104"/>
        <v>239</v>
      </c>
      <c r="AY162" s="19"/>
      <c r="BA162" s="9"/>
      <c r="BB162" s="9"/>
      <c r="BC162" s="9"/>
      <c r="BD162" s="9"/>
      <c r="BE162" s="9"/>
      <c r="BF162" s="9"/>
      <c r="BG162" s="9"/>
      <c r="BH162" s="9"/>
      <c r="BI162" s="9"/>
      <c r="BJ162" s="9"/>
    </row>
    <row r="163" spans="3:62" x14ac:dyDescent="0.2">
      <c r="C163" s="96" t="s">
        <v>18</v>
      </c>
      <c r="D163" s="8">
        <f>D136</f>
        <v>0</v>
      </c>
      <c r="E163" s="8"/>
      <c r="F163" s="8">
        <f>F136</f>
        <v>-58.030999999999999</v>
      </c>
      <c r="G163" s="8"/>
      <c r="H163" s="8">
        <f>H136</f>
        <v>25.516999999999999</v>
      </c>
      <c r="I163" s="8"/>
      <c r="J163" s="8">
        <f>J136</f>
        <v>281.12299999999999</v>
      </c>
      <c r="K163" s="8"/>
      <c r="L163" s="8">
        <f>L136</f>
        <v>112.282</v>
      </c>
      <c r="M163" s="8"/>
      <c r="N163" s="8">
        <f>N136</f>
        <v>-555</v>
      </c>
      <c r="O163" s="19"/>
      <c r="P163" s="8">
        <f>P136</f>
        <v>5</v>
      </c>
      <c r="Q163" s="19"/>
      <c r="R163" s="8">
        <v>6</v>
      </c>
      <c r="S163" s="9"/>
      <c r="T163" s="8">
        <v>-78</v>
      </c>
      <c r="U163" s="94"/>
      <c r="V163" s="8">
        <v>0</v>
      </c>
      <c r="W163" s="123">
        <f>W136</f>
        <v>0</v>
      </c>
      <c r="X163" s="8">
        <v>-119</v>
      </c>
      <c r="Y163" s="8">
        <f>Y136</f>
        <v>0</v>
      </c>
      <c r="Z163" s="8">
        <v>0</v>
      </c>
      <c r="AA163" s="8">
        <f t="shared" ref="AA163:AX163" si="105">AA136</f>
        <v>0</v>
      </c>
      <c r="AB163" s="8">
        <f t="shared" si="105"/>
        <v>-211</v>
      </c>
      <c r="AC163" s="8">
        <f t="shared" si="105"/>
        <v>0</v>
      </c>
      <c r="AD163" s="8">
        <f t="shared" si="105"/>
        <v>0</v>
      </c>
      <c r="AE163" s="8">
        <f t="shared" si="105"/>
        <v>0</v>
      </c>
      <c r="AF163" s="8">
        <f t="shared" si="105"/>
        <v>7</v>
      </c>
      <c r="AG163" s="8">
        <f t="shared" si="105"/>
        <v>0</v>
      </c>
      <c r="AH163" s="8">
        <f t="shared" si="105"/>
        <v>-2</v>
      </c>
      <c r="AI163" s="8">
        <f t="shared" si="105"/>
        <v>-4</v>
      </c>
      <c r="AJ163" s="8">
        <f t="shared" si="105"/>
        <v>45</v>
      </c>
      <c r="AK163" s="8">
        <f t="shared" si="105"/>
        <v>0</v>
      </c>
      <c r="AL163" s="8">
        <f t="shared" si="105"/>
        <v>107</v>
      </c>
      <c r="AM163" s="8">
        <f t="shared" si="105"/>
        <v>-97</v>
      </c>
      <c r="AN163" s="8">
        <f t="shared" si="105"/>
        <v>273</v>
      </c>
      <c r="AO163" s="8">
        <f t="shared" si="105"/>
        <v>-36</v>
      </c>
      <c r="AP163" s="8">
        <f t="shared" si="105"/>
        <v>-108</v>
      </c>
      <c r="AQ163" s="8">
        <f t="shared" si="105"/>
        <v>-8</v>
      </c>
      <c r="AR163" s="8">
        <f t="shared" si="105"/>
        <v>421</v>
      </c>
      <c r="AS163" s="8">
        <f t="shared" si="105"/>
        <v>0</v>
      </c>
      <c r="AT163" s="8">
        <f t="shared" si="105"/>
        <v>22</v>
      </c>
      <c r="AU163" s="8">
        <f t="shared" si="105"/>
        <v>11</v>
      </c>
      <c r="AV163" s="8">
        <f t="shared" si="105"/>
        <v>307</v>
      </c>
      <c r="AW163" s="8">
        <f t="shared" si="105"/>
        <v>3</v>
      </c>
      <c r="AX163" s="8">
        <f t="shared" si="105"/>
        <v>2</v>
      </c>
      <c r="AY163" s="19"/>
      <c r="BA163" s="9"/>
      <c r="BB163" s="9"/>
      <c r="BC163" s="9"/>
      <c r="BD163" s="9"/>
      <c r="BE163" s="9"/>
      <c r="BF163" s="9"/>
      <c r="BG163" s="9"/>
      <c r="BH163" s="9"/>
      <c r="BI163" s="9"/>
      <c r="BJ163" s="9"/>
    </row>
    <row r="164" spans="3:62" x14ac:dyDescent="0.2">
      <c r="C164" s="96" t="s">
        <v>452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19"/>
      <c r="P164" s="8"/>
      <c r="Q164" s="19"/>
      <c r="R164" s="8"/>
      <c r="S164" s="9"/>
      <c r="T164" s="8"/>
      <c r="U164" s="94"/>
      <c r="V164" s="8"/>
      <c r="W164" s="123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>
        <v>-6549</v>
      </c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8">
        <v>0</v>
      </c>
      <c r="AX164" s="8">
        <v>0</v>
      </c>
      <c r="AY164" s="19"/>
      <c r="BA164" s="9"/>
      <c r="BB164" s="9"/>
      <c r="BC164" s="9"/>
      <c r="BD164" s="9"/>
      <c r="BE164" s="9"/>
      <c r="BF164" s="9"/>
      <c r="BG164" s="9"/>
      <c r="BH164" s="9"/>
      <c r="BI164" s="9"/>
      <c r="BJ164" s="9"/>
    </row>
    <row r="165" spans="3:62" x14ac:dyDescent="0.2">
      <c r="C165" s="96" t="s">
        <v>510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19"/>
      <c r="P165" s="8"/>
      <c r="Q165" s="19"/>
      <c r="R165" s="8"/>
      <c r="S165" s="9"/>
      <c r="T165" s="8"/>
      <c r="U165" s="94"/>
      <c r="V165" s="8"/>
      <c r="W165" s="123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>
        <v>-5362</v>
      </c>
      <c r="AT165" s="8">
        <f>AS165</f>
        <v>-5362</v>
      </c>
      <c r="AU165" s="8">
        <f>AT165</f>
        <v>-5362</v>
      </c>
      <c r="AV165" s="8">
        <f>AU165</f>
        <v>-5362</v>
      </c>
      <c r="AW165" s="8">
        <v>904</v>
      </c>
      <c r="AX165" s="8">
        <v>1014</v>
      </c>
      <c r="AY165" s="19"/>
      <c r="BA165" s="9"/>
      <c r="BB165" s="9"/>
      <c r="BC165" s="9"/>
      <c r="BD165" s="9"/>
      <c r="BE165" s="9"/>
      <c r="BF165" s="9"/>
      <c r="BG165" s="9"/>
      <c r="BH165" s="9"/>
      <c r="BI165" s="9"/>
      <c r="BJ165" s="9"/>
    </row>
    <row r="166" spans="3:62" x14ac:dyDescent="0.2">
      <c r="C166" s="96" t="s">
        <v>226</v>
      </c>
      <c r="D166" s="8">
        <f>D129+D122+D121</f>
        <v>109</v>
      </c>
      <c r="E166" s="8"/>
      <c r="F166" s="8">
        <f>F129+F122+F121</f>
        <v>6.52</v>
      </c>
      <c r="G166" s="8"/>
      <c r="H166" s="8">
        <f>H129+H122+H121</f>
        <v>14.828000000000001</v>
      </c>
      <c r="I166" s="8"/>
      <c r="J166" s="8">
        <f>J129+J122+J121</f>
        <v>7.8319999999999999</v>
      </c>
      <c r="K166" s="8"/>
      <c r="L166" s="8">
        <f>L129+L122+L121</f>
        <v>14.77</v>
      </c>
      <c r="M166" s="8"/>
      <c r="N166" s="8">
        <f>N129+N122+N121</f>
        <v>114</v>
      </c>
      <c r="O166" s="19"/>
      <c r="P166" s="8">
        <f>P129+P122+P121</f>
        <v>194</v>
      </c>
      <c r="Q166" s="19"/>
      <c r="R166" s="8">
        <f>222+95+54</f>
        <v>371</v>
      </c>
      <c r="S166" s="9"/>
      <c r="T166" s="8">
        <v>325</v>
      </c>
      <c r="U166" s="94"/>
      <c r="V166" s="8">
        <v>188</v>
      </c>
      <c r="W166" s="123">
        <f>W129+W122</f>
        <v>128</v>
      </c>
      <c r="X166" s="8">
        <v>235</v>
      </c>
      <c r="Y166" s="8">
        <f>Y129+Y122</f>
        <v>213</v>
      </c>
      <c r="Z166" s="8">
        <f>49.166+18.337+276.408</f>
        <v>343.911</v>
      </c>
      <c r="AA166" s="8">
        <f t="shared" ref="AA166:AM166" si="106">AA129+AA122+AA121</f>
        <v>417.00000000000011</v>
      </c>
      <c r="AB166" s="8">
        <f t="shared" si="106"/>
        <v>511</v>
      </c>
      <c r="AC166" s="8">
        <f t="shared" si="106"/>
        <v>109</v>
      </c>
      <c r="AD166" s="8">
        <f t="shared" si="106"/>
        <v>159</v>
      </c>
      <c r="AE166" s="8">
        <f t="shared" si="106"/>
        <v>288</v>
      </c>
      <c r="AF166" s="8">
        <f t="shared" si="106"/>
        <v>357</v>
      </c>
      <c r="AG166" s="8">
        <f t="shared" si="106"/>
        <v>198</v>
      </c>
      <c r="AH166" s="8">
        <f t="shared" si="106"/>
        <v>948</v>
      </c>
      <c r="AI166" s="8">
        <f t="shared" si="106"/>
        <v>1131</v>
      </c>
      <c r="AJ166" s="8">
        <f t="shared" si="106"/>
        <v>1913</v>
      </c>
      <c r="AK166" s="8">
        <f t="shared" si="106"/>
        <v>264</v>
      </c>
      <c r="AL166" s="8">
        <f t="shared" si="106"/>
        <v>-1150</v>
      </c>
      <c r="AM166" s="8">
        <f t="shared" si="106"/>
        <v>-292</v>
      </c>
      <c r="AN166" s="8">
        <v>509</v>
      </c>
      <c r="AO166" s="8">
        <v>310</v>
      </c>
      <c r="AP166" s="8">
        <v>979</v>
      </c>
      <c r="AQ166" s="8">
        <v>3481</v>
      </c>
      <c r="AR166" s="8">
        <v>3508</v>
      </c>
      <c r="AS166" s="8">
        <v>417</v>
      </c>
      <c r="AT166" s="8">
        <v>595</v>
      </c>
      <c r="AU166" s="8">
        <v>-85</v>
      </c>
      <c r="AV166" s="8">
        <v>-2883</v>
      </c>
      <c r="AW166" s="8">
        <v>-158</v>
      </c>
      <c r="AX166" s="8">
        <v>922</v>
      </c>
      <c r="AY166" s="19"/>
      <c r="BA166" s="9"/>
      <c r="BB166" s="9"/>
      <c r="BC166" s="9"/>
      <c r="BD166" s="9"/>
      <c r="BE166" s="9"/>
      <c r="BF166" s="9"/>
      <c r="BG166" s="9"/>
      <c r="BH166" s="9"/>
      <c r="BI166" s="9"/>
      <c r="BJ166" s="9"/>
    </row>
    <row r="167" spans="3:62" x14ac:dyDescent="0.2">
      <c r="C167" s="95" t="s">
        <v>511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9"/>
      <c r="P167" s="17"/>
      <c r="Q167" s="19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>
        <v>3424</v>
      </c>
      <c r="AY167" s="19"/>
      <c r="BA167" s="15"/>
      <c r="BB167" s="15"/>
      <c r="BC167" s="15"/>
      <c r="BD167" s="9"/>
      <c r="BE167" s="9"/>
      <c r="BF167" s="9"/>
      <c r="BG167" s="9"/>
      <c r="BH167" s="9"/>
      <c r="BI167" s="9"/>
      <c r="BJ167" s="9"/>
    </row>
    <row r="168" spans="3:62" x14ac:dyDescent="0.2">
      <c r="C168" s="95" t="s">
        <v>477</v>
      </c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19"/>
      <c r="P168" s="8"/>
      <c r="Q168" s="19"/>
      <c r="R168" s="8"/>
      <c r="S168" s="9"/>
      <c r="T168" s="8"/>
      <c r="U168" s="94"/>
      <c r="V168" s="8"/>
      <c r="W168" s="123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>
        <f>2000</f>
        <v>2000</v>
      </c>
      <c r="AV168" s="8">
        <v>7250</v>
      </c>
      <c r="AW168" s="8">
        <v>0</v>
      </c>
      <c r="AX168" s="8">
        <v>0</v>
      </c>
      <c r="AY168" s="19"/>
      <c r="BA168" s="9"/>
      <c r="BB168" s="9"/>
      <c r="BC168" s="9"/>
      <c r="BD168" s="9"/>
      <c r="BE168" s="9"/>
      <c r="BF168" s="9"/>
      <c r="BG168" s="9"/>
      <c r="BH168" s="9"/>
      <c r="BI168" s="9"/>
      <c r="BJ168" s="9"/>
    </row>
    <row r="169" spans="3:62" x14ac:dyDescent="0.2">
      <c r="C16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19"/>
      <c r="P169" s="20"/>
      <c r="Q169" s="19"/>
      <c r="R169" s="20"/>
      <c r="S169" s="9"/>
      <c r="T169" s="94"/>
      <c r="U169" s="94"/>
      <c r="V169" s="94"/>
      <c r="W169" s="94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BA169" s="15"/>
      <c r="BB169" s="15"/>
      <c r="BC169" s="15"/>
      <c r="BD169" s="9"/>
      <c r="BE169" s="9"/>
      <c r="BF169" s="9"/>
      <c r="BG169" s="9"/>
      <c r="BH169" s="9"/>
      <c r="BI169" s="9"/>
      <c r="BJ169" s="9"/>
    </row>
    <row r="170" spans="3:62" x14ac:dyDescent="0.2">
      <c r="C170" s="95" t="s">
        <v>227</v>
      </c>
      <c r="D170" s="17">
        <f t="shared" ref="D170" si="107">D149+D155+D158</f>
        <v>2283.5</v>
      </c>
      <c r="E170" s="17"/>
      <c r="F170" s="17">
        <f>F149+F155+F158</f>
        <v>576.92200000000003</v>
      </c>
      <c r="G170" s="17"/>
      <c r="H170" s="17">
        <f>H149+H155+H158</f>
        <v>76.525000000000006</v>
      </c>
      <c r="I170" s="17"/>
      <c r="J170" s="17">
        <f>J149+J155+J158</f>
        <v>540.71499999999992</v>
      </c>
      <c r="K170" s="17"/>
      <c r="L170" s="17">
        <f>L149+L155+L158</f>
        <v>241.72899999999998</v>
      </c>
      <c r="M170" s="17"/>
      <c r="N170" s="17">
        <f>N149+N155+N158</f>
        <v>-2697</v>
      </c>
      <c r="O170" s="19"/>
      <c r="P170" s="17">
        <f>P149+P155+P158</f>
        <v>17211</v>
      </c>
      <c r="Q170" s="19"/>
      <c r="R170" s="17">
        <f>R149+R155+R158</f>
        <v>21509</v>
      </c>
      <c r="S170" s="17"/>
      <c r="T170" s="17">
        <f>T149+T155+T158</f>
        <v>16746</v>
      </c>
      <c r="U170" s="17"/>
      <c r="V170" s="17">
        <f>V149+V155+V158</f>
        <v>2105</v>
      </c>
      <c r="W170" s="17">
        <f>W149+W155+W158</f>
        <v>508</v>
      </c>
      <c r="X170" s="17">
        <f>X149+X155+X158</f>
        <v>-2412.5997953698243</v>
      </c>
      <c r="Y170" s="17">
        <f>Y149+Y155+Y158</f>
        <v>801</v>
      </c>
      <c r="Z170" s="17">
        <f>Z149+Z155+Z158</f>
        <v>2769.9110000000001</v>
      </c>
      <c r="AA170" s="17">
        <f t="shared" ref="AA170:AF170" si="108">AA149+AA155+AA158</f>
        <v>4278</v>
      </c>
      <c r="AB170" s="17">
        <f t="shared" si="108"/>
        <v>8329.6603548063831</v>
      </c>
      <c r="AC170" s="17">
        <f t="shared" si="108"/>
        <v>-22549</v>
      </c>
      <c r="AD170" s="17">
        <f t="shared" si="108"/>
        <v>-3319</v>
      </c>
      <c r="AE170" s="17">
        <f t="shared" si="108"/>
        <v>-660</v>
      </c>
      <c r="AF170" s="17">
        <f t="shared" si="108"/>
        <v>8956.5399316583807</v>
      </c>
      <c r="AG170" s="17">
        <f t="shared" ref="AG170:AJ170" si="109">AG149+AG155+AG158</f>
        <v>-1235</v>
      </c>
      <c r="AH170" s="17">
        <f>AH149+AH155+AH158</f>
        <v>3854</v>
      </c>
      <c r="AI170" s="17">
        <f t="shared" si="109"/>
        <v>5736</v>
      </c>
      <c r="AJ170" s="17">
        <f t="shared" si="109"/>
        <v>-6006.0253159272252</v>
      </c>
      <c r="AK170" s="17">
        <f t="shared" ref="AK170:AL170" si="110">AK149+AK155+AK158</f>
        <v>-43583</v>
      </c>
      <c r="AL170" s="17">
        <f t="shared" si="110"/>
        <v>-75019</v>
      </c>
      <c r="AM170" s="17">
        <f t="shared" ref="AM170:AR170" si="111">AM149+AM155+AM158</f>
        <v>-69875</v>
      </c>
      <c r="AN170" s="17">
        <f>AN149+AN155+AN158</f>
        <v>-58049</v>
      </c>
      <c r="AO170" s="17">
        <f t="shared" si="111"/>
        <v>16265</v>
      </c>
      <c r="AP170" s="17">
        <f t="shared" si="111"/>
        <v>32526</v>
      </c>
      <c r="AQ170" s="17">
        <f t="shared" si="111"/>
        <v>38238</v>
      </c>
      <c r="AR170" s="17">
        <f t="shared" si="111"/>
        <v>38899</v>
      </c>
      <c r="AS170" s="17">
        <f t="shared" ref="AS170:AT170" si="112">AS149+AS155+AS158</f>
        <v>12546</v>
      </c>
      <c r="AT170" s="17">
        <f t="shared" si="112"/>
        <v>4297</v>
      </c>
      <c r="AU170" s="17">
        <f>AU149+AU155+AU158</f>
        <v>-6927</v>
      </c>
      <c r="AV170" s="17">
        <f>AV149+AV155+AV158</f>
        <v>-13349</v>
      </c>
      <c r="AW170" s="17">
        <f>AW149+AW155+AW158</f>
        <v>-2950</v>
      </c>
      <c r="AX170" s="17">
        <f>AX149+AX155+AX158+AX167</f>
        <v>-2328</v>
      </c>
      <c r="AY170" s="159"/>
      <c r="BA170" s="15"/>
      <c r="BB170" s="15"/>
      <c r="BC170" s="15"/>
      <c r="BD170" s="9"/>
      <c r="BE170" s="9"/>
      <c r="BF170" s="9"/>
      <c r="BG170" s="9"/>
      <c r="BH170" s="9"/>
      <c r="BI170" s="9"/>
      <c r="BJ170" s="9"/>
    </row>
    <row r="171" spans="3:62" x14ac:dyDescent="0.2">
      <c r="C171" s="95" t="s">
        <v>228</v>
      </c>
      <c r="D171" s="17">
        <v>1826.8000000000002</v>
      </c>
      <c r="E171" s="17"/>
      <c r="F171" s="17">
        <v>461.53760000000005</v>
      </c>
      <c r="G171" s="17"/>
      <c r="H171" s="17">
        <v>61.220000000000006</v>
      </c>
      <c r="I171" s="17"/>
      <c r="J171" s="17">
        <v>432.57199999999995</v>
      </c>
      <c r="K171" s="17"/>
      <c r="L171" s="17">
        <v>193.38319999999999</v>
      </c>
      <c r="M171" s="17"/>
      <c r="N171" s="17">
        <v>-1656.1999999999998</v>
      </c>
      <c r="O171" s="20"/>
      <c r="P171" s="17">
        <v>13768.800000000001</v>
      </c>
      <c r="Q171" s="20"/>
      <c r="R171" s="17">
        <v>18132.599999999999</v>
      </c>
      <c r="S171" s="17"/>
      <c r="T171" s="17">
        <v>13396.800000000001</v>
      </c>
      <c r="U171" s="17"/>
      <c r="V171" s="17">
        <v>1684</v>
      </c>
      <c r="W171" s="17">
        <v>406.40000000000003</v>
      </c>
      <c r="X171" s="17">
        <v>-1292.8798362958596</v>
      </c>
      <c r="Y171" s="17">
        <v>640.80000000000007</v>
      </c>
      <c r="Z171" s="17">
        <v>2215.9288000000001</v>
      </c>
      <c r="AA171" s="17">
        <v>3422.4</v>
      </c>
      <c r="AB171" s="17">
        <v>6663.7282838451065</v>
      </c>
      <c r="AC171" s="17">
        <v>-18039.2</v>
      </c>
      <c r="AD171" s="17">
        <v>-2655.2000000000003</v>
      </c>
      <c r="AE171" s="17">
        <v>-528</v>
      </c>
      <c r="AF171" s="17">
        <v>7281.6319453267051</v>
      </c>
      <c r="AG171" s="17">
        <v>-988</v>
      </c>
      <c r="AH171" s="17">
        <v>3083.2000000000003</v>
      </c>
      <c r="AI171" s="17">
        <v>4588.8</v>
      </c>
      <c r="AJ171" s="17">
        <v>-4287.8202527417807</v>
      </c>
      <c r="AK171" s="17">
        <v>-34866.400000000001</v>
      </c>
      <c r="AL171" s="17">
        <v>-60015.200000000004</v>
      </c>
      <c r="AM171" s="17">
        <v>-55900</v>
      </c>
      <c r="AN171" s="17">
        <v>-46391.200000000004</v>
      </c>
      <c r="AO171" s="17">
        <v>13012</v>
      </c>
      <c r="AP171" s="17">
        <v>26020.800000000003</v>
      </c>
      <c r="AQ171" s="17">
        <v>30590.400000000001</v>
      </c>
      <c r="AR171" s="17">
        <v>31119.200000000001</v>
      </c>
      <c r="AS171" s="17">
        <v>12959.2</v>
      </c>
      <c r="AT171" s="17">
        <v>7436.7999999999993</v>
      </c>
      <c r="AU171" s="17">
        <v>1094.3999999999978</v>
      </c>
      <c r="AV171" s="17">
        <v>1178.7999999999993</v>
      </c>
      <c r="AW171" s="17">
        <v>-796.5</v>
      </c>
      <c r="AX171" s="17">
        <v>429.75</v>
      </c>
      <c r="AY171" s="17"/>
      <c r="BA171" s="15"/>
      <c r="BB171" s="15"/>
      <c r="BC171" s="15"/>
      <c r="BD171" s="9"/>
      <c r="BE171" s="9"/>
      <c r="BF171" s="9"/>
      <c r="BG171" s="9"/>
      <c r="BH171" s="9"/>
      <c r="BI171" s="9"/>
      <c r="BJ171" s="9"/>
    </row>
    <row r="172" spans="3:62" x14ac:dyDescent="0.2">
      <c r="C172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19"/>
      <c r="P172" s="20"/>
      <c r="Q172" s="19"/>
      <c r="R172" s="20"/>
      <c r="S172" s="9"/>
      <c r="T172" s="94"/>
      <c r="U172" s="94"/>
      <c r="V172" s="94"/>
      <c r="W172" s="94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BA172" s="9"/>
      <c r="BB172" s="9"/>
      <c r="BC172" s="9"/>
      <c r="BD172" s="9"/>
      <c r="BE172" s="9"/>
      <c r="BF172" s="9"/>
      <c r="BG172" s="9"/>
      <c r="BH172" s="9"/>
      <c r="BI172" s="9"/>
      <c r="BJ172" s="9"/>
    </row>
    <row r="173" spans="3:62" x14ac:dyDescent="0.2">
      <c r="C173" s="98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99"/>
      <c r="P173" s="100"/>
      <c r="Q173" s="99"/>
      <c r="R173" s="100"/>
      <c r="S173" s="101"/>
      <c r="T173" s="102"/>
      <c r="U173" s="102"/>
      <c r="V173" s="102"/>
      <c r="W173" s="102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  <c r="AW173" s="100"/>
      <c r="AX173" s="100"/>
      <c r="BA173" s="9"/>
      <c r="BB173" s="9"/>
      <c r="BC173" s="9"/>
      <c r="BD173" s="9"/>
      <c r="BE173" s="9"/>
      <c r="BF173" s="9"/>
      <c r="BG173" s="9"/>
      <c r="BH173" s="9"/>
      <c r="BI173" s="9"/>
      <c r="BJ173" s="9"/>
    </row>
    <row r="174" spans="3:62" hidden="1" x14ac:dyDescent="0.2">
      <c r="C174" s="231" t="s">
        <v>434</v>
      </c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238"/>
      <c r="P174" s="115"/>
      <c r="Q174" s="238"/>
      <c r="R174" s="115"/>
      <c r="S174" s="43"/>
      <c r="T174" s="277"/>
      <c r="U174" s="277"/>
      <c r="V174" s="277"/>
      <c r="W174" s="277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7" t="e">
        <f>#REF!-#REF!</f>
        <v>#REF!</v>
      </c>
      <c r="AP174" s="17" t="e">
        <f>#REF!-#REF!</f>
        <v>#REF!</v>
      </c>
      <c r="AQ174" s="17" t="e">
        <f>#REF!-#REF!</f>
        <v>#REF!</v>
      </c>
      <c r="AR174" s="17"/>
      <c r="AS174" s="17"/>
      <c r="AT174" s="17"/>
      <c r="AU174" s="17"/>
      <c r="AV174" s="17"/>
      <c r="AW174" s="17"/>
      <c r="AX174" s="17"/>
      <c r="BA174" s="9"/>
      <c r="BB174" s="9"/>
      <c r="BC174" s="9"/>
      <c r="BD174" s="9"/>
      <c r="BE174" s="9"/>
      <c r="BF174" s="9"/>
      <c r="BG174" s="9"/>
      <c r="BH174" s="9"/>
      <c r="BI174" s="9"/>
      <c r="BJ174" s="9"/>
    </row>
    <row r="175" spans="3:62" x14ac:dyDescent="0.2">
      <c r="C175" s="103" t="s">
        <v>229</v>
      </c>
      <c r="D175" s="17">
        <f>D143-D171</f>
        <v>-1894.6970000000001</v>
      </c>
      <c r="E175" s="17"/>
      <c r="F175" s="17">
        <f>F143-F171</f>
        <v>1137.5863999999992</v>
      </c>
      <c r="G175" s="17"/>
      <c r="H175" s="17">
        <f>H143-H171</f>
        <v>3260.1430000000005</v>
      </c>
      <c r="I175" s="17"/>
      <c r="J175" s="17">
        <f>J143-J171</f>
        <v>3082.8630000000007</v>
      </c>
      <c r="K175" s="17"/>
      <c r="L175" s="17">
        <f>L143-L171</f>
        <v>3346.9438000000009</v>
      </c>
      <c r="M175" s="17"/>
      <c r="N175" s="17">
        <f>N143-N171</f>
        <v>2701.2</v>
      </c>
      <c r="O175" s="19"/>
      <c r="P175" s="17">
        <f>P143-P171</f>
        <v>5548.1999999999989</v>
      </c>
      <c r="Q175" s="19"/>
      <c r="R175" s="17">
        <f>R143-R171</f>
        <v>15474.400000000001</v>
      </c>
      <c r="S175" s="17"/>
      <c r="T175" s="17">
        <f>T143-T171</f>
        <v>16174.199999999999</v>
      </c>
      <c r="U175" s="17"/>
      <c r="V175" s="17">
        <f t="shared" ref="V175:AX175" si="113">V143-V171</f>
        <v>9035</v>
      </c>
      <c r="W175" s="17">
        <f t="shared" si="113"/>
        <v>15159.6</v>
      </c>
      <c r="X175" s="17">
        <f t="shared" si="113"/>
        <v>18841.879836295859</v>
      </c>
      <c r="Y175" s="17">
        <f t="shared" si="113"/>
        <v>5094.2</v>
      </c>
      <c r="Z175" s="17">
        <f t="shared" si="113"/>
        <v>10773.0712</v>
      </c>
      <c r="AA175" s="17">
        <f t="shared" si="113"/>
        <v>18511.599999999999</v>
      </c>
      <c r="AB175" s="17">
        <f t="shared" si="113"/>
        <v>23479.271716154894</v>
      </c>
      <c r="AC175" s="17">
        <f t="shared" si="113"/>
        <v>6291.2000000000007</v>
      </c>
      <c r="AD175" s="17">
        <f t="shared" si="113"/>
        <v>12506.2</v>
      </c>
      <c r="AE175" s="17">
        <f t="shared" si="113"/>
        <v>22383</v>
      </c>
      <c r="AF175" s="17">
        <f t="shared" si="113"/>
        <v>31919.368054673294</v>
      </c>
      <c r="AG175" s="17">
        <f t="shared" si="113"/>
        <v>10803</v>
      </c>
      <c r="AH175" s="17">
        <f t="shared" si="113"/>
        <v>22580.799999999999</v>
      </c>
      <c r="AI175" s="17">
        <f t="shared" si="113"/>
        <v>36295.199999999997</v>
      </c>
      <c r="AJ175" s="17">
        <f t="shared" si="113"/>
        <v>53996.820252741782</v>
      </c>
      <c r="AK175" s="17">
        <f t="shared" si="113"/>
        <v>-3077.5999999999985</v>
      </c>
      <c r="AL175" s="17">
        <f t="shared" si="113"/>
        <v>-10605.799999999996</v>
      </c>
      <c r="AM175" s="17">
        <f t="shared" si="113"/>
        <v>-6184</v>
      </c>
      <c r="AN175" s="17">
        <f t="shared" si="113"/>
        <v>27808.200000000004</v>
      </c>
      <c r="AO175" s="17">
        <f t="shared" si="113"/>
        <v>9567</v>
      </c>
      <c r="AP175" s="17">
        <f t="shared" si="113"/>
        <v>25628.199999999997</v>
      </c>
      <c r="AQ175" s="17">
        <f t="shared" si="113"/>
        <v>45798.6</v>
      </c>
      <c r="AR175" s="17">
        <f t="shared" si="113"/>
        <v>63916.800000000003</v>
      </c>
      <c r="AS175" s="17">
        <f t="shared" si="113"/>
        <v>12054.8</v>
      </c>
      <c r="AT175" s="17">
        <f t="shared" si="113"/>
        <v>31280.2</v>
      </c>
      <c r="AU175" s="17">
        <f t="shared" si="113"/>
        <v>55425.600000000006</v>
      </c>
      <c r="AV175" s="17">
        <f t="shared" si="113"/>
        <v>76055.199999999997</v>
      </c>
      <c r="AW175" s="17">
        <f t="shared" si="113"/>
        <v>13332.5</v>
      </c>
      <c r="AX175" s="17">
        <f t="shared" si="113"/>
        <v>17113.25</v>
      </c>
      <c r="AY175" s="17"/>
      <c r="BA175" s="15"/>
      <c r="BB175" s="15"/>
      <c r="BC175" s="15"/>
      <c r="BD175" s="9"/>
      <c r="BE175" s="9"/>
      <c r="BF175" s="9"/>
      <c r="BG175" s="9"/>
      <c r="BH175" s="9"/>
      <c r="BI175" s="9"/>
      <c r="BJ175" s="9"/>
    </row>
    <row r="176" spans="3:62" x14ac:dyDescent="0.2">
      <c r="C176" s="103" t="s">
        <v>254</v>
      </c>
      <c r="D176" s="122">
        <f>D141-D170</f>
        <v>-2339.3969999999999</v>
      </c>
      <c r="E176" s="122"/>
      <c r="F176" s="122">
        <f>F141-F170</f>
        <v>1397.3679999999993</v>
      </c>
      <c r="G176" s="122"/>
      <c r="H176" s="122">
        <f>H141-H170</f>
        <v>4139.1960000000008</v>
      </c>
      <c r="I176" s="122"/>
      <c r="J176" s="122">
        <f>J141-J170</f>
        <v>3919.6950000000006</v>
      </c>
      <c r="K176" s="122"/>
      <c r="L176" s="122">
        <f>L141-L170</f>
        <v>4184.2670000000007</v>
      </c>
      <c r="M176" s="122"/>
      <c r="N176" s="122">
        <f>N141-N170</f>
        <v>3286</v>
      </c>
      <c r="O176" s="19"/>
      <c r="P176" s="122">
        <f>P141-P170</f>
        <v>6723</v>
      </c>
      <c r="Q176" s="19"/>
      <c r="R176" s="122">
        <f>R141-R170</f>
        <v>20141</v>
      </c>
      <c r="S176" s="9"/>
      <c r="T176" s="122">
        <f>T141-T170</f>
        <v>19913</v>
      </c>
      <c r="U176" s="94"/>
      <c r="V176" s="122">
        <f t="shared" ref="V176:AX176" si="114">V141-V170</f>
        <v>10167</v>
      </c>
      <c r="W176" s="122">
        <f t="shared" si="114"/>
        <v>17833</v>
      </c>
      <c r="X176" s="122">
        <f t="shared" si="114"/>
        <v>23237.599795369824</v>
      </c>
      <c r="Y176" s="122">
        <f t="shared" si="114"/>
        <v>6364</v>
      </c>
      <c r="Z176" s="122">
        <f t="shared" si="114"/>
        <v>13456.089</v>
      </c>
      <c r="AA176" s="122">
        <f t="shared" si="114"/>
        <v>23123</v>
      </c>
      <c r="AB176" s="122">
        <f t="shared" si="114"/>
        <v>29996.339645193617</v>
      </c>
      <c r="AC176" s="122">
        <f t="shared" si="114"/>
        <v>7847</v>
      </c>
      <c r="AD176" s="122">
        <f t="shared" si="114"/>
        <v>15632</v>
      </c>
      <c r="AE176" s="122">
        <f t="shared" si="114"/>
        <v>27944</v>
      </c>
      <c r="AF176" s="122">
        <f t="shared" si="114"/>
        <v>39590.460068341621</v>
      </c>
      <c r="AG176" s="122">
        <f t="shared" si="114"/>
        <v>13289</v>
      </c>
      <c r="AH176" s="122">
        <f t="shared" si="114"/>
        <v>27548</v>
      </c>
      <c r="AI176" s="122">
        <f t="shared" si="114"/>
        <v>44550</v>
      </c>
      <c r="AJ176" s="122">
        <f t="shared" si="114"/>
        <v>67068.025315927225</v>
      </c>
      <c r="AK176" s="122">
        <f t="shared" si="114"/>
        <v>-3414</v>
      </c>
      <c r="AL176" s="122">
        <f t="shared" si="114"/>
        <v>-11624</v>
      </c>
      <c r="AM176" s="122">
        <f t="shared" si="114"/>
        <v>-6365</v>
      </c>
      <c r="AN176" s="122">
        <f t="shared" si="114"/>
        <v>35026</v>
      </c>
      <c r="AO176" s="122">
        <f t="shared" si="114"/>
        <v>11486</v>
      </c>
      <c r="AP176" s="122">
        <f t="shared" si="114"/>
        <v>30481</v>
      </c>
      <c r="AQ176" s="122">
        <f t="shared" si="114"/>
        <v>56041</v>
      </c>
      <c r="AR176" s="122">
        <f t="shared" si="114"/>
        <v>70824</v>
      </c>
      <c r="AS176" s="122">
        <f t="shared" si="114"/>
        <v>13887</v>
      </c>
      <c r="AT176" s="122">
        <f t="shared" si="114"/>
        <v>38524</v>
      </c>
      <c r="AU176" s="122">
        <f t="shared" si="114"/>
        <v>67768</v>
      </c>
      <c r="AV176" s="122">
        <f t="shared" si="114"/>
        <v>93057</v>
      </c>
      <c r="AW176" s="122">
        <f t="shared" si="114"/>
        <v>17063</v>
      </c>
      <c r="AX176" s="122">
        <f t="shared" si="114"/>
        <v>22820</v>
      </c>
      <c r="AY176" s="314"/>
      <c r="BA176" s="9"/>
      <c r="BB176" s="9"/>
      <c r="BC176" s="9"/>
      <c r="BD176" s="9"/>
      <c r="BE176" s="9"/>
      <c r="BF176" s="9"/>
      <c r="BG176" s="9"/>
      <c r="BH176" s="9"/>
      <c r="BI176" s="9"/>
      <c r="BJ176" s="9"/>
    </row>
    <row r="177" spans="2:62" x14ac:dyDescent="0.2"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9"/>
      <c r="T177" s="94"/>
      <c r="U177" s="94"/>
      <c r="V177" s="94"/>
      <c r="W177" s="94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BA177" s="9"/>
      <c r="BB177" s="9"/>
      <c r="BC177" s="9"/>
      <c r="BD177" s="9"/>
      <c r="BE177" s="9"/>
      <c r="BF177" s="9"/>
      <c r="BG177" s="9"/>
      <c r="BH177" s="9"/>
      <c r="BI177" s="9"/>
      <c r="BJ177" s="9"/>
    </row>
    <row r="178" spans="2:62" x14ac:dyDescent="0.2">
      <c r="C178" s="4" t="s">
        <v>476</v>
      </c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9"/>
      <c r="T178" s="20">
        <f>T87+T107+T139</f>
        <v>89005</v>
      </c>
      <c r="U178" s="20"/>
      <c r="V178" s="20">
        <f t="shared" ref="V178:AW178" si="115">V87+V107+V139</f>
        <v>52208</v>
      </c>
      <c r="W178" s="20">
        <f t="shared" si="115"/>
        <v>81663</v>
      </c>
      <c r="X178" s="20">
        <f t="shared" si="115"/>
        <v>112658</v>
      </c>
      <c r="Y178" s="20">
        <f t="shared" si="115"/>
        <v>31513</v>
      </c>
      <c r="Z178" s="20">
        <f t="shared" si="115"/>
        <v>65601</v>
      </c>
      <c r="AA178" s="20">
        <f t="shared" si="115"/>
        <v>101557</v>
      </c>
      <c r="AB178" s="20">
        <f t="shared" si="115"/>
        <v>137411</v>
      </c>
      <c r="AC178" s="20">
        <f t="shared" si="115"/>
        <v>40106</v>
      </c>
      <c r="AD178" s="20">
        <f t="shared" si="115"/>
        <v>81568</v>
      </c>
      <c r="AE178" s="20">
        <f t="shared" si="115"/>
        <v>127944</v>
      </c>
      <c r="AF178" s="20">
        <f t="shared" si="115"/>
        <v>171617</v>
      </c>
      <c r="AG178" s="20">
        <f t="shared" si="115"/>
        <v>46595</v>
      </c>
      <c r="AH178" s="20">
        <f t="shared" si="115"/>
        <v>107788</v>
      </c>
      <c r="AI178" s="20">
        <f t="shared" si="115"/>
        <v>172429</v>
      </c>
      <c r="AJ178" s="20">
        <f t="shared" si="115"/>
        <v>245019</v>
      </c>
      <c r="AK178" s="20">
        <f t="shared" si="115"/>
        <v>72472</v>
      </c>
      <c r="AL178" s="20">
        <f t="shared" si="115"/>
        <v>147803</v>
      </c>
      <c r="AM178" s="20">
        <f t="shared" si="115"/>
        <v>226274</v>
      </c>
      <c r="AN178" s="20">
        <f t="shared" si="115"/>
        <v>307444</v>
      </c>
      <c r="AO178" s="20">
        <f t="shared" si="115"/>
        <v>79399</v>
      </c>
      <c r="AP178" s="20">
        <f t="shared" si="115"/>
        <v>162683</v>
      </c>
      <c r="AQ178" s="20">
        <f t="shared" si="115"/>
        <v>262796</v>
      </c>
      <c r="AR178" s="20">
        <f t="shared" si="115"/>
        <v>392906</v>
      </c>
      <c r="AS178" s="20">
        <f t="shared" si="115"/>
        <v>144734</v>
      </c>
      <c r="AT178" s="20">
        <f t="shared" si="115"/>
        <v>318801</v>
      </c>
      <c r="AU178" s="20">
        <f t="shared" si="115"/>
        <v>511971</v>
      </c>
      <c r="AV178" s="20">
        <f t="shared" si="115"/>
        <v>721977</v>
      </c>
      <c r="AW178" s="20">
        <f t="shared" si="115"/>
        <v>228394</v>
      </c>
      <c r="AX178" s="20">
        <v>460922</v>
      </c>
      <c r="AY178" s="130"/>
      <c r="BA178" s="9"/>
      <c r="BB178" s="9"/>
      <c r="BC178" s="9"/>
      <c r="BD178" s="9"/>
      <c r="BE178" s="9"/>
      <c r="BF178" s="9"/>
      <c r="BG178" s="9"/>
      <c r="BH178" s="9"/>
      <c r="BI178" s="9"/>
      <c r="BJ178" s="9"/>
    </row>
    <row r="179" spans="2:62" x14ac:dyDescent="0.2">
      <c r="C179" s="4" t="s">
        <v>179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64"/>
      <c r="T179" s="21"/>
      <c r="U179" s="21"/>
      <c r="V179" s="8">
        <v>-4441</v>
      </c>
      <c r="W179" s="21"/>
      <c r="X179" s="8">
        <v>-8603</v>
      </c>
      <c r="Y179" s="8">
        <v>-1626</v>
      </c>
      <c r="Z179" s="8">
        <v>-3908</v>
      </c>
      <c r="AA179" s="8">
        <v>-6560</v>
      </c>
      <c r="AB179" s="8">
        <v>-9125</v>
      </c>
      <c r="AC179" s="8">
        <v>-5137</v>
      </c>
      <c r="AD179" s="8">
        <v>-11258</v>
      </c>
      <c r="AE179" s="8">
        <v>-16751</v>
      </c>
      <c r="AF179" s="8">
        <v>-20326</v>
      </c>
      <c r="AG179" s="8">
        <v>-20326</v>
      </c>
      <c r="AH179" s="8">
        <v>-20326</v>
      </c>
      <c r="AI179" s="8">
        <v>-20326</v>
      </c>
      <c r="AJ179" s="8">
        <v>-33038</v>
      </c>
      <c r="AK179" s="8">
        <v>-20776</v>
      </c>
      <c r="AL179" s="8">
        <v>-29195</v>
      </c>
      <c r="AM179" s="8">
        <v>-42521</v>
      </c>
      <c r="AN179" s="8">
        <v>-51685</v>
      </c>
      <c r="AO179" s="8">
        <v>-10568</v>
      </c>
      <c r="AP179" s="8">
        <v>-20603</v>
      </c>
      <c r="AQ179" s="8">
        <v>-26842</v>
      </c>
      <c r="AR179" s="8">
        <v>-30720</v>
      </c>
      <c r="AS179" s="8">
        <v>-10724</v>
      </c>
      <c r="AT179" s="8">
        <v>-26899</v>
      </c>
      <c r="AU179" s="8">
        <v>-45644</v>
      </c>
      <c r="AV179" s="8">
        <v>-62229</v>
      </c>
      <c r="AW179" s="8">
        <v>-15402</v>
      </c>
      <c r="AX179" s="8">
        <v>-41159</v>
      </c>
      <c r="AY179" s="145"/>
      <c r="AZ179" s="4" t="s">
        <v>426</v>
      </c>
      <c r="BA179" s="20"/>
      <c r="BB179" s="9"/>
      <c r="BC179" s="9"/>
      <c r="BD179" s="9"/>
      <c r="BE179" s="9"/>
      <c r="BF179" s="9"/>
      <c r="BG179" s="9"/>
      <c r="BH179" s="9"/>
      <c r="BI179" s="9"/>
      <c r="BJ179" s="9"/>
    </row>
    <row r="180" spans="2:62" x14ac:dyDescent="0.2">
      <c r="AJ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</row>
    <row r="181" spans="2:62" s="5" customFormat="1" x14ac:dyDescent="0.2">
      <c r="B181" s="42">
        <v>3</v>
      </c>
      <c r="C181" s="41" t="s">
        <v>102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</row>
    <row r="182" spans="2:62" x14ac:dyDescent="0.2">
      <c r="O182" s="9"/>
      <c r="Q182" s="9"/>
      <c r="AY182" s="127"/>
      <c r="BA182" s="9"/>
      <c r="BB182" s="9"/>
      <c r="BC182" s="9"/>
      <c r="BD182" s="9"/>
      <c r="BE182" s="9"/>
      <c r="BF182" s="9"/>
      <c r="BG182" s="9"/>
      <c r="BH182" s="9"/>
      <c r="BI182" s="9"/>
      <c r="BJ182" s="9"/>
    </row>
    <row r="183" spans="2:62" ht="12" x14ac:dyDescent="0.2">
      <c r="C183" s="9" t="s">
        <v>242</v>
      </c>
      <c r="D183" s="28">
        <v>234.316</v>
      </c>
      <c r="E183" s="28"/>
      <c r="F183" s="28">
        <v>0</v>
      </c>
      <c r="G183" s="28"/>
      <c r="H183" s="28">
        <v>827.97299999999996</v>
      </c>
      <c r="I183" s="28"/>
      <c r="J183" s="28">
        <v>3532.5450000000001</v>
      </c>
      <c r="K183" s="28"/>
      <c r="L183" s="28">
        <v>4804.1390000000001</v>
      </c>
      <c r="M183" s="28"/>
      <c r="N183" s="28">
        <v>9687</v>
      </c>
      <c r="O183" s="28"/>
      <c r="P183" s="28">
        <v>0</v>
      </c>
      <c r="Q183" s="28">
        <v>0</v>
      </c>
      <c r="R183" s="28">
        <v>21475</v>
      </c>
      <c r="S183" s="28">
        <v>34130</v>
      </c>
      <c r="T183" s="28">
        <v>56706</v>
      </c>
      <c r="U183" s="28">
        <v>60458</v>
      </c>
      <c r="V183" s="28">
        <v>65142</v>
      </c>
      <c r="W183" s="28">
        <v>70197</v>
      </c>
      <c r="X183" s="28">
        <v>74978</v>
      </c>
      <c r="Y183" s="28">
        <v>79847</v>
      </c>
      <c r="Z183" s="28">
        <v>88868</v>
      </c>
      <c r="AA183" s="28">
        <v>97461</v>
      </c>
      <c r="AB183" s="28">
        <v>101943</v>
      </c>
      <c r="AC183" s="28">
        <v>104799</v>
      </c>
      <c r="AD183" s="28">
        <v>104008</v>
      </c>
      <c r="AE183" s="28">
        <v>110151</v>
      </c>
      <c r="AF183" s="28">
        <v>108886</v>
      </c>
      <c r="AG183" s="28">
        <v>111967</v>
      </c>
      <c r="AH183" s="28">
        <v>120783</v>
      </c>
      <c r="AI183" s="28">
        <v>130815</v>
      </c>
      <c r="AJ183" s="28">
        <v>140755</v>
      </c>
      <c r="AK183" s="28">
        <v>143990</v>
      </c>
      <c r="AL183" s="28">
        <v>149501</v>
      </c>
      <c r="AM183" s="28">
        <v>159511</v>
      </c>
      <c r="AN183" s="28">
        <v>166288</v>
      </c>
      <c r="AO183" s="28">
        <v>175671</v>
      </c>
      <c r="AP183" s="28">
        <v>209115</v>
      </c>
      <c r="AQ183" s="28">
        <v>241879</v>
      </c>
      <c r="AR183" s="28">
        <v>271935</v>
      </c>
      <c r="AS183" s="28">
        <v>303960</v>
      </c>
      <c r="AT183" s="28">
        <v>351004</v>
      </c>
      <c r="AU183" s="28">
        <v>436555</v>
      </c>
      <c r="AV183" s="28">
        <v>475119</v>
      </c>
      <c r="AW183" s="28">
        <v>494921</v>
      </c>
      <c r="AX183" s="28">
        <v>512878</v>
      </c>
      <c r="AY183" s="129"/>
      <c r="AZ183" s="126"/>
      <c r="BA183" s="317"/>
      <c r="BB183" s="118"/>
      <c r="BC183" s="9"/>
      <c r="BD183" s="9"/>
      <c r="BE183" s="9"/>
      <c r="BF183" s="9"/>
      <c r="BG183" s="9"/>
      <c r="BH183" s="9"/>
      <c r="BI183" s="9"/>
      <c r="BJ183" s="9"/>
    </row>
    <row r="184" spans="2:62" ht="12" x14ac:dyDescent="0.2">
      <c r="C184" s="9" t="s">
        <v>42</v>
      </c>
      <c r="D184" s="28">
        <v>886.08299999999997</v>
      </c>
      <c r="E184" s="28"/>
      <c r="F184" s="28">
        <v>481.226</v>
      </c>
      <c r="G184" s="28"/>
      <c r="H184" s="28">
        <v>425.286</v>
      </c>
      <c r="I184" s="28"/>
      <c r="J184" s="28">
        <v>223.10599999999999</v>
      </c>
      <c r="K184" s="28"/>
      <c r="L184" s="28">
        <v>164.62</v>
      </c>
      <c r="M184" s="28"/>
      <c r="N184" s="28">
        <v>406</v>
      </c>
      <c r="O184" s="28"/>
      <c r="P184" s="28">
        <v>2250</v>
      </c>
      <c r="Q184" s="28">
        <v>2864</v>
      </c>
      <c r="R184" s="28">
        <v>3528</v>
      </c>
      <c r="S184" s="28">
        <v>21536</v>
      </c>
      <c r="T184" s="28">
        <v>30228</v>
      </c>
      <c r="U184" s="28">
        <v>33353</v>
      </c>
      <c r="V184" s="28">
        <v>52116</v>
      </c>
      <c r="W184" s="28">
        <v>55953</v>
      </c>
      <c r="X184" s="28">
        <v>57801</v>
      </c>
      <c r="Y184" s="28">
        <v>59770</v>
      </c>
      <c r="Z184" s="28">
        <v>62475</v>
      </c>
      <c r="AA184" s="28">
        <v>64443</v>
      </c>
      <c r="AB184" s="28">
        <v>68046</v>
      </c>
      <c r="AC184" s="28">
        <v>70180</v>
      </c>
      <c r="AD184" s="28">
        <v>70524</v>
      </c>
      <c r="AE184" s="28">
        <v>74362</v>
      </c>
      <c r="AF184" s="28">
        <v>82445</v>
      </c>
      <c r="AG184" s="28">
        <v>90285</v>
      </c>
      <c r="AH184" s="28">
        <v>120618</v>
      </c>
      <c r="AI184" s="28">
        <v>135252</v>
      </c>
      <c r="AJ184" s="28">
        <v>156585</v>
      </c>
      <c r="AK184" s="28">
        <v>159788</v>
      </c>
      <c r="AL184" s="28">
        <v>162739</v>
      </c>
      <c r="AM184" s="28">
        <v>175695</v>
      </c>
      <c r="AN184" s="28">
        <v>186203</v>
      </c>
      <c r="AO184" s="28">
        <v>193975</v>
      </c>
      <c r="AP184" s="28">
        <v>210717</v>
      </c>
      <c r="AQ184" s="28">
        <v>231681</v>
      </c>
      <c r="AR184" s="28">
        <v>252598</v>
      </c>
      <c r="AS184" s="28">
        <v>280031</v>
      </c>
      <c r="AT184" s="28">
        <v>304225</v>
      </c>
      <c r="AU184" s="28">
        <v>325801</v>
      </c>
      <c r="AV184" s="28">
        <v>347613</v>
      </c>
      <c r="AW184" s="28">
        <v>353029</v>
      </c>
      <c r="AX184" s="28">
        <v>362448</v>
      </c>
      <c r="AY184" s="129"/>
      <c r="BA184" s="317"/>
      <c r="BB184" s="9"/>
      <c r="BC184" s="9"/>
      <c r="BD184" s="9"/>
      <c r="BE184" s="9"/>
      <c r="BF184" s="9"/>
      <c r="BG184" s="9"/>
      <c r="BH184" s="9"/>
      <c r="BI184" s="9"/>
      <c r="BJ184" s="9"/>
    </row>
    <row r="185" spans="2:62" ht="12" x14ac:dyDescent="0.2">
      <c r="C185" s="9" t="s">
        <v>240</v>
      </c>
      <c r="D185" s="28">
        <v>8720.0669999999991</v>
      </c>
      <c r="E185" s="28"/>
      <c r="F185" s="28">
        <v>11604.035</v>
      </c>
      <c r="G185" s="28"/>
      <c r="H185" s="28">
        <v>22851.392</v>
      </c>
      <c r="I185" s="28"/>
      <c r="J185" s="28">
        <v>41724.042000000001</v>
      </c>
      <c r="K185" s="28"/>
      <c r="L185" s="28">
        <v>56498.908000000003</v>
      </c>
      <c r="M185" s="28"/>
      <c r="N185" s="28">
        <v>76299</v>
      </c>
      <c r="O185" s="28"/>
      <c r="P185" s="28">
        <v>58343</v>
      </c>
      <c r="Q185" s="28">
        <v>54535</v>
      </c>
      <c r="R185" s="28">
        <v>54613</v>
      </c>
      <c r="S185" s="28">
        <v>51683</v>
      </c>
      <c r="T185" s="28">
        <v>47653</v>
      </c>
      <c r="U185" s="28">
        <v>47031</v>
      </c>
      <c r="V185" s="28">
        <v>46034</v>
      </c>
      <c r="W185" s="28">
        <v>47025</v>
      </c>
      <c r="X185" s="28">
        <v>47609</v>
      </c>
      <c r="Y185" s="28">
        <v>48669</v>
      </c>
      <c r="Z185" s="28">
        <v>51045</v>
      </c>
      <c r="AA185" s="28">
        <v>55198</v>
      </c>
      <c r="AB185" s="28">
        <v>60947</v>
      </c>
      <c r="AC185" s="28">
        <v>64714</v>
      </c>
      <c r="AD185" s="28">
        <v>63412</v>
      </c>
      <c r="AE185" s="28">
        <v>65944</v>
      </c>
      <c r="AF185" s="28">
        <v>68547</v>
      </c>
      <c r="AG185" s="28">
        <v>71673</v>
      </c>
      <c r="AH185" s="28">
        <v>88129</v>
      </c>
      <c r="AI185" s="28">
        <v>96766</v>
      </c>
      <c r="AJ185" s="28">
        <v>136250</v>
      </c>
      <c r="AK185" s="28">
        <v>137423</v>
      </c>
      <c r="AL185" s="28">
        <v>139223</v>
      </c>
      <c r="AM185" s="28">
        <v>145082</v>
      </c>
      <c r="AN185" s="28">
        <v>148990</v>
      </c>
      <c r="AO185" s="28">
        <v>149554</v>
      </c>
      <c r="AP185" s="28">
        <v>170854</v>
      </c>
      <c r="AQ185" s="28">
        <v>174851</v>
      </c>
      <c r="AR185" s="28">
        <v>178010</v>
      </c>
      <c r="AS185" s="28">
        <v>361928</v>
      </c>
      <c r="AT185" s="28">
        <v>368150</v>
      </c>
      <c r="AU185" s="28">
        <v>357357</v>
      </c>
      <c r="AV185" s="28">
        <v>356656</v>
      </c>
      <c r="AW185" s="28">
        <v>350958</v>
      </c>
      <c r="AX185" s="28">
        <v>336177</v>
      </c>
      <c r="AY185" s="129"/>
      <c r="AZ185" s="126"/>
      <c r="BA185" s="269"/>
      <c r="BB185" s="118"/>
      <c r="BC185" s="9"/>
      <c r="BD185" s="9"/>
      <c r="BE185" s="9"/>
      <c r="BF185" s="9"/>
      <c r="BG185" s="9"/>
      <c r="BH185" s="9"/>
      <c r="BI185" s="9"/>
      <c r="BJ185" s="9"/>
    </row>
    <row r="186" spans="2:62" ht="12" x14ac:dyDescent="0.2">
      <c r="C186" s="9" t="s">
        <v>241</v>
      </c>
      <c r="D186" s="28">
        <v>0</v>
      </c>
      <c r="E186" s="28"/>
      <c r="F186" s="28">
        <v>65.161000000000001</v>
      </c>
      <c r="G186" s="28"/>
      <c r="H186" s="28">
        <v>23.518000000000001</v>
      </c>
      <c r="I186" s="28"/>
      <c r="J186" s="28">
        <v>4.2270000000000003</v>
      </c>
      <c r="K186" s="28"/>
      <c r="L186" s="28">
        <v>0</v>
      </c>
      <c r="M186" s="28"/>
      <c r="N186" s="28">
        <v>0</v>
      </c>
      <c r="O186" s="28"/>
      <c r="P186" s="28">
        <v>7423</v>
      </c>
      <c r="Q186" s="28">
        <v>7776</v>
      </c>
      <c r="R186" s="28">
        <v>6719</v>
      </c>
      <c r="S186" s="28">
        <v>6741</v>
      </c>
      <c r="T186" s="28">
        <v>9222</v>
      </c>
      <c r="U186" s="28">
        <v>9347</v>
      </c>
      <c r="V186" s="28">
        <v>10332</v>
      </c>
      <c r="W186" s="28">
        <v>12483</v>
      </c>
      <c r="X186" s="28">
        <v>20303</v>
      </c>
      <c r="Y186" s="28">
        <v>26601</v>
      </c>
      <c r="Z186" s="28">
        <v>32663</v>
      </c>
      <c r="AA186" s="28">
        <v>38252</v>
      </c>
      <c r="AB186" s="28">
        <v>43206</v>
      </c>
      <c r="AC186" s="28">
        <v>46175</v>
      </c>
      <c r="AD186" s="28">
        <v>47279</v>
      </c>
      <c r="AE186" s="28">
        <v>57895</v>
      </c>
      <c r="AF186" s="28">
        <v>60915</v>
      </c>
      <c r="AG186" s="28">
        <v>64061</v>
      </c>
      <c r="AH186" s="28">
        <v>125009</v>
      </c>
      <c r="AI186" s="28">
        <v>127099</v>
      </c>
      <c r="AJ186" s="28">
        <v>106705</v>
      </c>
      <c r="AK186" s="28">
        <v>110135</v>
      </c>
      <c r="AL186" s="28">
        <v>117642</v>
      </c>
      <c r="AM186" s="28">
        <v>124700</v>
      </c>
      <c r="AN186" s="28">
        <v>125204</v>
      </c>
      <c r="AO186" s="28">
        <v>135169</v>
      </c>
      <c r="AP186" s="28">
        <v>126119</v>
      </c>
      <c r="AQ186" s="28">
        <v>128804</v>
      </c>
      <c r="AR186" s="28">
        <v>135377</v>
      </c>
      <c r="AS186" s="28">
        <v>155251</v>
      </c>
      <c r="AT186" s="28">
        <v>158117</v>
      </c>
      <c r="AU186" s="28">
        <v>164365</v>
      </c>
      <c r="AV186" s="28">
        <v>172914</v>
      </c>
      <c r="AW186" s="28">
        <v>177094</v>
      </c>
      <c r="AX186" s="28">
        <v>179965</v>
      </c>
      <c r="AY186" s="129"/>
      <c r="AZ186" s="126"/>
      <c r="BA186" s="269"/>
      <c r="BB186" s="118"/>
      <c r="BC186" s="9"/>
      <c r="BD186" s="9"/>
      <c r="BE186" s="9"/>
      <c r="BF186" s="9"/>
      <c r="BG186" s="9"/>
      <c r="BH186" s="9"/>
      <c r="BI186" s="9"/>
      <c r="BJ186" s="9"/>
    </row>
    <row r="187" spans="2:62" hidden="1" x14ac:dyDescent="0.2">
      <c r="C187" s="9" t="s">
        <v>103</v>
      </c>
      <c r="D187" s="28">
        <v>152.863</v>
      </c>
      <c r="E187" s="28"/>
      <c r="F187" s="28">
        <v>67.430999999999997</v>
      </c>
      <c r="G187" s="28"/>
      <c r="H187" s="28">
        <v>50.526000000000003</v>
      </c>
      <c r="I187" s="28"/>
      <c r="J187" s="28">
        <v>154.85499999999999</v>
      </c>
      <c r="K187" s="28"/>
      <c r="L187" s="28">
        <v>0</v>
      </c>
      <c r="M187" s="28"/>
      <c r="N187" s="28">
        <v>0</v>
      </c>
      <c r="O187" s="28"/>
      <c r="P187" s="28"/>
      <c r="Q187" s="28"/>
      <c r="R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127"/>
      <c r="BA187" s="9"/>
      <c r="BB187" s="9"/>
      <c r="BC187" s="9"/>
      <c r="BD187" s="9"/>
      <c r="BE187" s="9"/>
      <c r="BF187" s="9"/>
      <c r="BG187" s="9"/>
      <c r="BH187" s="9"/>
      <c r="BI187" s="9"/>
      <c r="BJ187" s="9"/>
    </row>
    <row r="188" spans="2:62" s="6" customFormat="1" x14ac:dyDescent="0.2">
      <c r="B188" s="13"/>
      <c r="C188" s="13" t="s">
        <v>104</v>
      </c>
      <c r="D188" s="17">
        <f>D185+D186+D183+D184</f>
        <v>9840.4660000000003</v>
      </c>
      <c r="E188" s="17"/>
      <c r="F188" s="17">
        <f>F185+F186+F183+F184+F187</f>
        <v>12217.853000000001</v>
      </c>
      <c r="G188" s="17"/>
      <c r="H188" s="17">
        <f>H185+H186+H183+H184+H187</f>
        <v>24178.695000000003</v>
      </c>
      <c r="I188" s="17"/>
      <c r="J188" s="17">
        <f>J185+J186+J183+J184+J187</f>
        <v>45638.775000000001</v>
      </c>
      <c r="K188" s="17"/>
      <c r="L188" s="17">
        <f>L185+L186+L183+L184+L187</f>
        <v>61467.667000000009</v>
      </c>
      <c r="M188" s="17"/>
      <c r="N188" s="17">
        <f>N185+N186+N183+N184+N187</f>
        <v>86392</v>
      </c>
      <c r="O188" s="17"/>
      <c r="P188" s="17">
        <f t="shared" ref="P188:AX188" si="116">P185+P186+P183+P184</f>
        <v>68016</v>
      </c>
      <c r="Q188" s="17">
        <f t="shared" si="116"/>
        <v>65175</v>
      </c>
      <c r="R188" s="17">
        <f t="shared" si="116"/>
        <v>86335</v>
      </c>
      <c r="S188" s="17">
        <f t="shared" si="116"/>
        <v>114090</v>
      </c>
      <c r="T188" s="17">
        <f t="shared" si="116"/>
        <v>143809</v>
      </c>
      <c r="U188" s="17">
        <f t="shared" si="116"/>
        <v>150189</v>
      </c>
      <c r="V188" s="17">
        <f t="shared" si="116"/>
        <v>173624</v>
      </c>
      <c r="W188" s="17">
        <f t="shared" si="116"/>
        <v>185658</v>
      </c>
      <c r="X188" s="17">
        <f t="shared" si="116"/>
        <v>200691</v>
      </c>
      <c r="Y188" s="17">
        <f t="shared" si="116"/>
        <v>214887</v>
      </c>
      <c r="Z188" s="17">
        <f t="shared" si="116"/>
        <v>235051</v>
      </c>
      <c r="AA188" s="17">
        <f t="shared" si="116"/>
        <v>255354</v>
      </c>
      <c r="AB188" s="17">
        <f t="shared" si="116"/>
        <v>274142</v>
      </c>
      <c r="AC188" s="17">
        <f t="shared" si="116"/>
        <v>285868</v>
      </c>
      <c r="AD188" s="17">
        <f t="shared" si="116"/>
        <v>285223</v>
      </c>
      <c r="AE188" s="17">
        <f t="shared" si="116"/>
        <v>308352</v>
      </c>
      <c r="AF188" s="17">
        <f t="shared" si="116"/>
        <v>320793</v>
      </c>
      <c r="AG188" s="17">
        <f t="shared" si="116"/>
        <v>337986</v>
      </c>
      <c r="AH188" s="17">
        <f t="shared" si="116"/>
        <v>454539</v>
      </c>
      <c r="AI188" s="17">
        <f t="shared" si="116"/>
        <v>489932</v>
      </c>
      <c r="AJ188" s="17">
        <f t="shared" si="116"/>
        <v>540295</v>
      </c>
      <c r="AK188" s="17">
        <f t="shared" si="116"/>
        <v>551336</v>
      </c>
      <c r="AL188" s="17">
        <f t="shared" si="116"/>
        <v>569105</v>
      </c>
      <c r="AM188" s="17">
        <f t="shared" si="116"/>
        <v>604988</v>
      </c>
      <c r="AN188" s="17">
        <f t="shared" si="116"/>
        <v>626685</v>
      </c>
      <c r="AO188" s="17">
        <f t="shared" si="116"/>
        <v>654369</v>
      </c>
      <c r="AP188" s="17">
        <f t="shared" si="116"/>
        <v>716805</v>
      </c>
      <c r="AQ188" s="17">
        <f t="shared" si="116"/>
        <v>777215</v>
      </c>
      <c r="AR188" s="17">
        <f t="shared" si="116"/>
        <v>837920</v>
      </c>
      <c r="AS188" s="17">
        <f t="shared" si="116"/>
        <v>1101170</v>
      </c>
      <c r="AT188" s="17">
        <f t="shared" si="116"/>
        <v>1181496</v>
      </c>
      <c r="AU188" s="17">
        <f t="shared" si="116"/>
        <v>1284078</v>
      </c>
      <c r="AV188" s="17">
        <f t="shared" si="116"/>
        <v>1352302</v>
      </c>
      <c r="AW188" s="17">
        <f t="shared" si="116"/>
        <v>1376002</v>
      </c>
      <c r="AX188" s="17">
        <f t="shared" si="116"/>
        <v>1391468</v>
      </c>
      <c r="AY188" s="129"/>
      <c r="BA188" s="252"/>
      <c r="BB188" s="13"/>
      <c r="BC188" s="13"/>
      <c r="BD188" s="13"/>
      <c r="BE188" s="13"/>
      <c r="BF188" s="13"/>
      <c r="BG188" s="13"/>
      <c r="BH188" s="13"/>
      <c r="BI188" s="13"/>
      <c r="BJ188" s="13"/>
    </row>
    <row r="189" spans="2:62" s="6" customFormat="1" x14ac:dyDescent="0.2">
      <c r="B189" s="13"/>
      <c r="C189" s="44" t="s">
        <v>207</v>
      </c>
      <c r="D189" s="75"/>
      <c r="E189" s="75"/>
      <c r="F189" s="75">
        <f>SUM(F183,F184)</f>
        <v>481.226</v>
      </c>
      <c r="G189" s="21"/>
      <c r="H189" s="75">
        <f>SUM(H183,H184)</f>
        <v>1253.259</v>
      </c>
      <c r="I189" s="21"/>
      <c r="J189" s="75">
        <f>SUM(J183,J184)</f>
        <v>3755.6509999999998</v>
      </c>
      <c r="K189" s="21"/>
      <c r="L189" s="75">
        <f>SUM(L183,L184)</f>
        <v>4968.759</v>
      </c>
      <c r="M189" s="21"/>
      <c r="N189" s="75">
        <f>SUM(N183,N184)</f>
        <v>10093</v>
      </c>
      <c r="O189" s="21"/>
      <c r="P189" s="75">
        <f t="shared" ref="P189:AX189" si="117">SUM(P183,P184)</f>
        <v>2250</v>
      </c>
      <c r="Q189" s="75">
        <f t="shared" si="117"/>
        <v>2864</v>
      </c>
      <c r="R189" s="75">
        <f t="shared" si="117"/>
        <v>25003</v>
      </c>
      <c r="S189" s="75">
        <f t="shared" si="117"/>
        <v>55666</v>
      </c>
      <c r="T189" s="75">
        <f t="shared" si="117"/>
        <v>86934</v>
      </c>
      <c r="U189" s="75">
        <f t="shared" si="117"/>
        <v>93811</v>
      </c>
      <c r="V189" s="75">
        <f t="shared" si="117"/>
        <v>117258</v>
      </c>
      <c r="W189" s="75">
        <f t="shared" si="117"/>
        <v>126150</v>
      </c>
      <c r="X189" s="75">
        <f t="shared" si="117"/>
        <v>132779</v>
      </c>
      <c r="Y189" s="75">
        <f t="shared" si="117"/>
        <v>139617</v>
      </c>
      <c r="Z189" s="75">
        <f t="shared" si="117"/>
        <v>151343</v>
      </c>
      <c r="AA189" s="75">
        <f t="shared" si="117"/>
        <v>161904</v>
      </c>
      <c r="AB189" s="75">
        <f t="shared" si="117"/>
        <v>169989</v>
      </c>
      <c r="AC189" s="75">
        <f t="shared" si="117"/>
        <v>174979</v>
      </c>
      <c r="AD189" s="75">
        <f t="shared" si="117"/>
        <v>174532</v>
      </c>
      <c r="AE189" s="75">
        <f t="shared" si="117"/>
        <v>184513</v>
      </c>
      <c r="AF189" s="75">
        <f t="shared" si="117"/>
        <v>191331</v>
      </c>
      <c r="AG189" s="75">
        <f t="shared" si="117"/>
        <v>202252</v>
      </c>
      <c r="AH189" s="75">
        <f t="shared" si="117"/>
        <v>241401</v>
      </c>
      <c r="AI189" s="75">
        <f t="shared" si="117"/>
        <v>266067</v>
      </c>
      <c r="AJ189" s="75">
        <f t="shared" si="117"/>
        <v>297340</v>
      </c>
      <c r="AK189" s="75">
        <f t="shared" si="117"/>
        <v>303778</v>
      </c>
      <c r="AL189" s="75">
        <f t="shared" si="117"/>
        <v>312240</v>
      </c>
      <c r="AM189" s="75">
        <f t="shared" si="117"/>
        <v>335206</v>
      </c>
      <c r="AN189" s="75">
        <f t="shared" si="117"/>
        <v>352491</v>
      </c>
      <c r="AO189" s="75">
        <f t="shared" si="117"/>
        <v>369646</v>
      </c>
      <c r="AP189" s="75">
        <f t="shared" si="117"/>
        <v>419832</v>
      </c>
      <c r="AQ189" s="75">
        <f t="shared" si="117"/>
        <v>473560</v>
      </c>
      <c r="AR189" s="75">
        <f t="shared" si="117"/>
        <v>524533</v>
      </c>
      <c r="AS189" s="75">
        <f t="shared" si="117"/>
        <v>583991</v>
      </c>
      <c r="AT189" s="75">
        <f t="shared" si="117"/>
        <v>655229</v>
      </c>
      <c r="AU189" s="75">
        <f t="shared" si="117"/>
        <v>762356</v>
      </c>
      <c r="AV189" s="75">
        <f t="shared" si="117"/>
        <v>822732</v>
      </c>
      <c r="AW189" s="75">
        <f t="shared" si="117"/>
        <v>847950</v>
      </c>
      <c r="AX189" s="75">
        <f t="shared" si="117"/>
        <v>875326</v>
      </c>
      <c r="AY189" s="242"/>
      <c r="BB189" s="13"/>
      <c r="BC189" s="13"/>
      <c r="BD189" s="13"/>
      <c r="BE189" s="13"/>
      <c r="BF189" s="13"/>
      <c r="BG189" s="13"/>
      <c r="BH189" s="13"/>
      <c r="BI189" s="13"/>
      <c r="BJ189" s="13"/>
    </row>
    <row r="190" spans="2:62" s="6" customFormat="1" x14ac:dyDescent="0.2">
      <c r="B190" s="13"/>
      <c r="C190" s="44" t="s">
        <v>208</v>
      </c>
      <c r="D190" s="75"/>
      <c r="E190" s="75"/>
      <c r="F190" s="75">
        <f>SUM(F185,F186)</f>
        <v>11669.196</v>
      </c>
      <c r="G190" s="21"/>
      <c r="H190" s="75">
        <f>SUM(H185,H186)</f>
        <v>22874.91</v>
      </c>
      <c r="I190" s="21"/>
      <c r="J190" s="75">
        <f>SUM(J185,J186)</f>
        <v>41728.269</v>
      </c>
      <c r="K190" s="21"/>
      <c r="L190" s="75">
        <f>SUM(L185,L186)</f>
        <v>56498.908000000003</v>
      </c>
      <c r="M190" s="21"/>
      <c r="N190" s="75">
        <f>SUM(N185,N186)</f>
        <v>76299</v>
      </c>
      <c r="O190" s="21"/>
      <c r="P190" s="75">
        <f>SUM(P185,P186)</f>
        <v>65766</v>
      </c>
      <c r="Q190" s="75">
        <f>SUM(Q185,Q186)</f>
        <v>62311</v>
      </c>
      <c r="R190" s="75">
        <f>SUM(R185,R186)</f>
        <v>61332</v>
      </c>
      <c r="S190" s="75">
        <f>SUM(S185,S183)</f>
        <v>85813</v>
      </c>
      <c r="T190" s="75">
        <f t="shared" ref="T190:AJ190" si="118">SUM(T185,T186)</f>
        <v>56875</v>
      </c>
      <c r="U190" s="75">
        <f t="shared" si="118"/>
        <v>56378</v>
      </c>
      <c r="V190" s="75">
        <f t="shared" si="118"/>
        <v>56366</v>
      </c>
      <c r="W190" s="75">
        <f t="shared" si="118"/>
        <v>59508</v>
      </c>
      <c r="X190" s="75">
        <f t="shared" si="118"/>
        <v>67912</v>
      </c>
      <c r="Y190" s="75">
        <f t="shared" si="118"/>
        <v>75270</v>
      </c>
      <c r="Z190" s="75">
        <f t="shared" si="118"/>
        <v>83708</v>
      </c>
      <c r="AA190" s="75">
        <f t="shared" si="118"/>
        <v>93450</v>
      </c>
      <c r="AB190" s="75">
        <f t="shared" si="118"/>
        <v>104153</v>
      </c>
      <c r="AC190" s="75">
        <f t="shared" si="118"/>
        <v>110889</v>
      </c>
      <c r="AD190" s="75">
        <f t="shared" si="118"/>
        <v>110691</v>
      </c>
      <c r="AE190" s="75">
        <f t="shared" si="118"/>
        <v>123839</v>
      </c>
      <c r="AF190" s="75">
        <f t="shared" si="118"/>
        <v>129462</v>
      </c>
      <c r="AG190" s="75">
        <f t="shared" si="118"/>
        <v>135734</v>
      </c>
      <c r="AH190" s="75">
        <f t="shared" si="118"/>
        <v>213138</v>
      </c>
      <c r="AI190" s="75">
        <f t="shared" si="118"/>
        <v>223865</v>
      </c>
      <c r="AJ190" s="75">
        <f t="shared" si="118"/>
        <v>242955</v>
      </c>
      <c r="AK190" s="75">
        <f t="shared" ref="AK190:AL190" si="119">SUM(AK185,AK186)</f>
        <v>247558</v>
      </c>
      <c r="AL190" s="75">
        <f t="shared" si="119"/>
        <v>256865</v>
      </c>
      <c r="AM190" s="75">
        <f t="shared" ref="AM190:AR190" si="120">SUM(AM185,AM186)</f>
        <v>269782</v>
      </c>
      <c r="AN190" s="75">
        <f t="shared" si="120"/>
        <v>274194</v>
      </c>
      <c r="AO190" s="75">
        <f t="shared" si="120"/>
        <v>284723</v>
      </c>
      <c r="AP190" s="75">
        <f t="shared" si="120"/>
        <v>296973</v>
      </c>
      <c r="AQ190" s="75">
        <f t="shared" si="120"/>
        <v>303655</v>
      </c>
      <c r="AR190" s="75">
        <f t="shared" si="120"/>
        <v>313387</v>
      </c>
      <c r="AS190" s="75">
        <f t="shared" ref="AS190:AT190" si="121">SUM(AS185,AS186)</f>
        <v>517179</v>
      </c>
      <c r="AT190" s="75">
        <f t="shared" si="121"/>
        <v>526267</v>
      </c>
      <c r="AU190" s="75">
        <f t="shared" ref="AU190:AV190" si="122">SUM(AU185,AU186)</f>
        <v>521722</v>
      </c>
      <c r="AV190" s="75">
        <f t="shared" si="122"/>
        <v>529570</v>
      </c>
      <c r="AW190" s="75">
        <f t="shared" ref="AW190:AX190" si="123">SUM(AW185,AW186)</f>
        <v>528052</v>
      </c>
      <c r="AX190" s="75">
        <f t="shared" si="123"/>
        <v>516142</v>
      </c>
      <c r="AY190" s="129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</row>
    <row r="191" spans="2:62" s="6" customFormat="1" x14ac:dyDescent="0.2">
      <c r="B191" s="13"/>
      <c r="C191" s="13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Z191" s="13"/>
      <c r="BA191" s="13"/>
      <c r="BB191" s="13"/>
    </row>
    <row r="192" spans="2:62" s="6" customFormat="1" x14ac:dyDescent="0.2">
      <c r="B192" s="13"/>
      <c r="C192" s="9" t="s">
        <v>105</v>
      </c>
      <c r="D192" s="8"/>
      <c r="E192" s="8"/>
      <c r="F192" s="8">
        <v>0</v>
      </c>
      <c r="G192" s="8"/>
      <c r="H192" s="8">
        <v>0</v>
      </c>
      <c r="I192" s="8"/>
      <c r="J192" s="8">
        <v>0</v>
      </c>
      <c r="K192" s="8"/>
      <c r="L192" s="8">
        <v>0</v>
      </c>
      <c r="M192" s="8"/>
      <c r="N192" s="8">
        <v>9338</v>
      </c>
      <c r="O192" s="8"/>
      <c r="P192" s="8">
        <v>0</v>
      </c>
      <c r="Q192" s="8"/>
      <c r="R192" s="8">
        <v>26587</v>
      </c>
      <c r="S192" s="8">
        <v>25736</v>
      </c>
      <c r="T192" s="8">
        <v>5933</v>
      </c>
      <c r="U192" s="8">
        <v>5746</v>
      </c>
      <c r="V192" s="8">
        <v>4730</v>
      </c>
      <c r="W192" s="8">
        <v>46082</v>
      </c>
      <c r="X192" s="8">
        <v>48145</v>
      </c>
      <c r="Y192" s="8">
        <v>45550</v>
      </c>
      <c r="Z192" s="8">
        <v>40380</v>
      </c>
      <c r="AA192" s="8">
        <v>38040</v>
      </c>
      <c r="AB192" s="8">
        <v>35055</v>
      </c>
      <c r="AC192" s="8">
        <v>38389</v>
      </c>
      <c r="AD192" s="8">
        <v>33804</v>
      </c>
      <c r="AE192" s="8">
        <v>31887</v>
      </c>
      <c r="AF192" s="8">
        <v>22938</v>
      </c>
      <c r="AG192" s="8">
        <v>18054</v>
      </c>
      <c r="AH192" s="8">
        <v>11144</v>
      </c>
      <c r="AI192" s="8">
        <v>8797</v>
      </c>
      <c r="AJ192" s="8">
        <v>6607</v>
      </c>
      <c r="AK192" s="8">
        <v>6933</v>
      </c>
      <c r="AL192" s="8">
        <v>5109</v>
      </c>
      <c r="AM192" s="8">
        <v>4354</v>
      </c>
      <c r="AN192" s="8">
        <v>3224</v>
      </c>
      <c r="AO192" s="8">
        <v>2205</v>
      </c>
      <c r="AP192" s="8">
        <v>2142</v>
      </c>
      <c r="AQ192" s="8">
        <v>5777</v>
      </c>
      <c r="AR192" s="8">
        <v>1960</v>
      </c>
      <c r="AS192" s="8">
        <v>1998</v>
      </c>
      <c r="AT192" s="8">
        <v>1944</v>
      </c>
      <c r="AU192" s="8">
        <v>1980</v>
      </c>
      <c r="AV192" s="8">
        <v>1054</v>
      </c>
      <c r="AW192" s="8">
        <v>1075</v>
      </c>
      <c r="AX192" s="8">
        <v>1042</v>
      </c>
      <c r="AZ192" s="147"/>
      <c r="BA192" s="148"/>
      <c r="BB192" s="252"/>
    </row>
    <row r="193" spans="2:63" s="6" customFormat="1" x14ac:dyDescent="0.2">
      <c r="B193" s="13"/>
      <c r="C193" s="9" t="s">
        <v>106</v>
      </c>
      <c r="D193" s="8"/>
      <c r="E193" s="8"/>
      <c r="F193" s="8">
        <v>0</v>
      </c>
      <c r="G193" s="8"/>
      <c r="H193" s="8">
        <v>0</v>
      </c>
      <c r="I193" s="8"/>
      <c r="J193" s="8">
        <v>0</v>
      </c>
      <c r="K193" s="8"/>
      <c r="L193" s="8">
        <v>0</v>
      </c>
      <c r="M193" s="8"/>
      <c r="N193" s="8">
        <v>22530</v>
      </c>
      <c r="O193" s="8"/>
      <c r="P193" s="8">
        <v>4324</v>
      </c>
      <c r="Q193" s="8">
        <v>1865</v>
      </c>
      <c r="R193" s="8">
        <v>10386</v>
      </c>
      <c r="S193" s="8">
        <v>11867</v>
      </c>
      <c r="T193" s="8">
        <v>10551</v>
      </c>
      <c r="U193" s="8">
        <v>10748</v>
      </c>
      <c r="V193" s="8">
        <v>9837</v>
      </c>
      <c r="W193" s="8">
        <v>92377</v>
      </c>
      <c r="X193" s="8">
        <v>96127</v>
      </c>
      <c r="Y193" s="8">
        <v>83151</v>
      </c>
      <c r="Z193" s="8">
        <v>70906</v>
      </c>
      <c r="AA193" s="8">
        <v>67677</v>
      </c>
      <c r="AB193" s="8">
        <v>62539</v>
      </c>
      <c r="AC193" s="8">
        <v>75546</v>
      </c>
      <c r="AD193" s="8">
        <v>67796</v>
      </c>
      <c r="AE193" s="8">
        <v>70844</v>
      </c>
      <c r="AF193" s="8">
        <v>34556</v>
      </c>
      <c r="AG193" s="8">
        <v>19425</v>
      </c>
      <c r="AH193" s="8">
        <v>17847</v>
      </c>
      <c r="AI193" s="8">
        <v>18053</v>
      </c>
      <c r="AJ193" s="8">
        <v>14811</v>
      </c>
      <c r="AK193" s="8">
        <v>16300</v>
      </c>
      <c r="AL193" s="8">
        <v>5455</v>
      </c>
      <c r="AM193" s="8">
        <v>5959</v>
      </c>
      <c r="AN193" s="8">
        <v>5508</v>
      </c>
      <c r="AO193" s="8">
        <v>6125</v>
      </c>
      <c r="AP193" s="8">
        <v>0</v>
      </c>
      <c r="AQ193" s="8">
        <v>2862</v>
      </c>
      <c r="AR193" s="8">
        <v>0</v>
      </c>
      <c r="AS193" s="8">
        <v>0</v>
      </c>
      <c r="AT193" s="8">
        <v>0</v>
      </c>
      <c r="AU193" s="8">
        <v>0</v>
      </c>
      <c r="AV193" s="8">
        <v>0</v>
      </c>
      <c r="AW193" s="8">
        <v>0</v>
      </c>
      <c r="AX193" s="8">
        <v>0</v>
      </c>
      <c r="AY193" s="13"/>
      <c r="AZ193" s="147"/>
      <c r="BA193" s="148"/>
      <c r="BB193" s="252"/>
      <c r="BC193" s="13"/>
    </row>
    <row r="194" spans="2:63" s="6" customFormat="1" x14ac:dyDescent="0.2">
      <c r="B194" s="13"/>
      <c r="C194" s="9" t="s">
        <v>258</v>
      </c>
      <c r="D194" s="8"/>
      <c r="E194" s="8"/>
      <c r="F194" s="8">
        <v>0</v>
      </c>
      <c r="G194" s="8"/>
      <c r="H194" s="8">
        <v>0</v>
      </c>
      <c r="I194" s="8"/>
      <c r="J194" s="8">
        <v>0</v>
      </c>
      <c r="K194" s="8"/>
      <c r="L194" s="8">
        <v>0</v>
      </c>
      <c r="M194" s="8"/>
      <c r="N194" s="8">
        <v>0</v>
      </c>
      <c r="O194" s="8"/>
      <c r="P194" s="8">
        <v>12149</v>
      </c>
      <c r="Q194" s="8">
        <v>7121</v>
      </c>
      <c r="R194" s="8">
        <v>2212</v>
      </c>
      <c r="S194" s="8">
        <v>4939</v>
      </c>
      <c r="T194" s="8">
        <v>4298</v>
      </c>
      <c r="U194" s="8">
        <v>3624</v>
      </c>
      <c r="V194" s="8">
        <v>4039</v>
      </c>
      <c r="W194" s="8">
        <v>15974</v>
      </c>
      <c r="X194" s="8">
        <v>16001</v>
      </c>
      <c r="Y194" s="8">
        <v>15732</v>
      </c>
      <c r="Z194" s="8">
        <v>15550</v>
      </c>
      <c r="AA194" s="8">
        <v>15334</v>
      </c>
      <c r="AB194" s="8">
        <v>15026</v>
      </c>
      <c r="AC194" s="8">
        <v>15837</v>
      </c>
      <c r="AD194" s="8">
        <v>15824</v>
      </c>
      <c r="AE194" s="8">
        <v>9448</v>
      </c>
      <c r="AF194" s="8">
        <v>8464</v>
      </c>
      <c r="AG194" s="8">
        <v>7024</v>
      </c>
      <c r="AH194" s="8">
        <v>6784</v>
      </c>
      <c r="AI194" s="8">
        <v>6465</v>
      </c>
      <c r="AJ194" s="8">
        <v>5620</v>
      </c>
      <c r="AK194" s="8">
        <v>1779</v>
      </c>
      <c r="AL194" s="8">
        <v>1768</v>
      </c>
      <c r="AM194" s="8">
        <v>1373</v>
      </c>
      <c r="AN194" s="8">
        <v>789</v>
      </c>
      <c r="AO194" s="8">
        <v>783</v>
      </c>
      <c r="AP194" s="8">
        <v>776</v>
      </c>
      <c r="AQ194" s="8">
        <v>7889</v>
      </c>
      <c r="AR194" s="8">
        <v>0</v>
      </c>
      <c r="AS194" s="8">
        <v>0</v>
      </c>
      <c r="AT194" s="8">
        <v>0</v>
      </c>
      <c r="AU194" s="8">
        <v>0</v>
      </c>
      <c r="AV194" s="8">
        <v>0</v>
      </c>
      <c r="AW194" s="8">
        <v>0</v>
      </c>
      <c r="AX194" s="8">
        <v>0</v>
      </c>
      <c r="AY194" s="13"/>
      <c r="AZ194" s="147"/>
      <c r="BA194" s="148"/>
      <c r="BB194" s="252"/>
      <c r="BC194" s="13"/>
    </row>
    <row r="195" spans="2:63" s="284" customFormat="1" ht="22.5" x14ac:dyDescent="0.2">
      <c r="B195" s="278"/>
      <c r="C195" s="279" t="s">
        <v>107</v>
      </c>
      <c r="D195" s="280"/>
      <c r="E195" s="280"/>
      <c r="F195" s="280">
        <v>0</v>
      </c>
      <c r="G195" s="280"/>
      <c r="H195" s="280">
        <v>0</v>
      </c>
      <c r="I195" s="280"/>
      <c r="J195" s="280">
        <v>0</v>
      </c>
      <c r="K195" s="280"/>
      <c r="L195" s="280">
        <v>0</v>
      </c>
      <c r="M195" s="280"/>
      <c r="N195" s="280">
        <v>0</v>
      </c>
      <c r="O195" s="280"/>
      <c r="P195" s="280">
        <v>47732</v>
      </c>
      <c r="Q195" s="280">
        <v>54669</v>
      </c>
      <c r="R195" s="280">
        <v>70057</v>
      </c>
      <c r="S195" s="280">
        <v>44025</v>
      </c>
      <c r="T195" s="280">
        <v>24887</v>
      </c>
      <c r="U195" s="280">
        <v>15838</v>
      </c>
      <c r="V195" s="280">
        <v>7064</v>
      </c>
      <c r="W195" s="280">
        <v>3981</v>
      </c>
      <c r="X195" s="280">
        <v>6347</v>
      </c>
      <c r="Y195" s="280">
        <v>4964</v>
      </c>
      <c r="Z195" s="280">
        <v>4810</v>
      </c>
      <c r="AA195" s="280">
        <v>6459</v>
      </c>
      <c r="AB195" s="280">
        <v>7205</v>
      </c>
      <c r="AC195" s="280">
        <v>6486</v>
      </c>
      <c r="AD195" s="280">
        <v>6090</v>
      </c>
      <c r="AE195" s="280">
        <v>6484</v>
      </c>
      <c r="AF195" s="280">
        <v>8806</v>
      </c>
      <c r="AG195" s="280">
        <v>7917</v>
      </c>
      <c r="AH195" s="280">
        <v>8839</v>
      </c>
      <c r="AI195" s="280">
        <v>12421</v>
      </c>
      <c r="AJ195" s="280">
        <v>22260</v>
      </c>
      <c r="AK195" s="280">
        <v>20538</v>
      </c>
      <c r="AL195" s="280">
        <v>16154</v>
      </c>
      <c r="AM195" s="280">
        <v>11795</v>
      </c>
      <c r="AN195" s="280">
        <v>28473</v>
      </c>
      <c r="AO195" s="280">
        <v>16980</v>
      </c>
      <c r="AP195" s="280">
        <v>16902</v>
      </c>
      <c r="AQ195" s="280">
        <v>14442</v>
      </c>
      <c r="AR195" s="280">
        <v>26817</v>
      </c>
      <c r="AS195" s="280">
        <v>20999</v>
      </c>
      <c r="AT195" s="280">
        <v>14080</v>
      </c>
      <c r="AU195" s="280">
        <v>13148</v>
      </c>
      <c r="AV195" s="280">
        <v>30714</v>
      </c>
      <c r="AW195" s="280">
        <v>10444</v>
      </c>
      <c r="AX195" s="280">
        <v>39453</v>
      </c>
      <c r="AY195" s="278"/>
      <c r="AZ195" s="281"/>
      <c r="BA195" s="282"/>
      <c r="BB195" s="283"/>
      <c r="BC195" s="278"/>
      <c r="BH195" s="278"/>
      <c r="BI195" s="278"/>
      <c r="BJ195" s="278"/>
      <c r="BK195" s="278"/>
    </row>
    <row r="196" spans="2:63" s="6" customFormat="1" x14ac:dyDescent="0.2">
      <c r="B196" s="13"/>
      <c r="C196" s="9" t="s">
        <v>108</v>
      </c>
      <c r="D196" s="8"/>
      <c r="E196" s="8"/>
      <c r="F196" s="8">
        <v>7870.64</v>
      </c>
      <c r="G196" s="8"/>
      <c r="H196" s="8">
        <v>9763.2530000000006</v>
      </c>
      <c r="I196" s="8"/>
      <c r="J196" s="8">
        <v>6077.85</v>
      </c>
      <c r="K196" s="8"/>
      <c r="L196" s="8">
        <v>4676.0209999999997</v>
      </c>
      <c r="M196" s="8"/>
      <c r="N196" s="8">
        <v>9112</v>
      </c>
      <c r="O196" s="8"/>
      <c r="P196" s="8">
        <v>50632</v>
      </c>
      <c r="Q196" s="8">
        <v>55226</v>
      </c>
      <c r="R196" s="8">
        <v>46158</v>
      </c>
      <c r="S196" s="8">
        <v>39394</v>
      </c>
      <c r="T196" s="8">
        <v>83262</v>
      </c>
      <c r="U196" s="8">
        <v>87262</v>
      </c>
      <c r="V196" s="8">
        <v>134242</v>
      </c>
      <c r="W196" s="8">
        <v>132835</v>
      </c>
      <c r="X196" s="8">
        <v>149063</v>
      </c>
      <c r="Y196" s="8">
        <v>154170</v>
      </c>
      <c r="Z196" s="8">
        <v>144433</v>
      </c>
      <c r="AA196" s="8">
        <v>143243</v>
      </c>
      <c r="AB196" s="8">
        <v>160286</v>
      </c>
      <c r="AC196" s="8">
        <v>202073</v>
      </c>
      <c r="AD196" s="8">
        <v>240917</v>
      </c>
      <c r="AE196" s="8">
        <v>216732</v>
      </c>
      <c r="AF196" s="8">
        <v>262058</v>
      </c>
      <c r="AG196" s="8">
        <v>336130</v>
      </c>
      <c r="AH196" s="8">
        <v>421453</v>
      </c>
      <c r="AI196" s="8">
        <v>447912</v>
      </c>
      <c r="AJ196" s="8">
        <v>487997</v>
      </c>
      <c r="AK196" s="8">
        <v>444162</v>
      </c>
      <c r="AL196" s="8">
        <v>476516</v>
      </c>
      <c r="AM196" s="8">
        <v>575431</v>
      </c>
      <c r="AN196" s="8">
        <v>633551</v>
      </c>
      <c r="AO196" s="8">
        <v>677080</v>
      </c>
      <c r="AP196" s="8">
        <v>688231</v>
      </c>
      <c r="AQ196" s="8">
        <v>781632</v>
      </c>
      <c r="AR196" s="8">
        <v>878786</v>
      </c>
      <c r="AS196" s="8">
        <v>964363</v>
      </c>
      <c r="AT196" s="8">
        <v>1010842</v>
      </c>
      <c r="AU196" s="8">
        <v>1005760</v>
      </c>
      <c r="AV196" s="8">
        <v>1077949</v>
      </c>
      <c r="AW196" s="8">
        <v>1055297</v>
      </c>
      <c r="AX196" s="8">
        <v>1069115</v>
      </c>
      <c r="AY196" s="315"/>
      <c r="AZ196" s="147" t="s">
        <v>504</v>
      </c>
      <c r="BA196" s="323">
        <f>AX196+AX197+AX195+AX208</f>
        <v>1404150</v>
      </c>
      <c r="BB196" s="146" t="s">
        <v>263</v>
      </c>
      <c r="BC196" s="252"/>
      <c r="BD196" s="148"/>
      <c r="BE196" s="146"/>
      <c r="BF196" s="252"/>
      <c r="BG196" s="147"/>
      <c r="BH196" s="13"/>
      <c r="BI196" s="13"/>
      <c r="BJ196" s="13"/>
      <c r="BK196" s="13"/>
    </row>
    <row r="197" spans="2:63" s="6" customFormat="1" x14ac:dyDescent="0.2">
      <c r="B197" s="13"/>
      <c r="C197" s="9" t="s">
        <v>109</v>
      </c>
      <c r="D197" s="8"/>
      <c r="E197" s="8"/>
      <c r="F197" s="8">
        <v>2905.819</v>
      </c>
      <c r="G197" s="8"/>
      <c r="H197" s="8">
        <v>2248.1480000000001</v>
      </c>
      <c r="I197" s="8"/>
      <c r="J197" s="8">
        <v>783.88099999999997</v>
      </c>
      <c r="K197" s="8"/>
      <c r="L197" s="8">
        <v>710.14300000000003</v>
      </c>
      <c r="M197" s="8"/>
      <c r="N197" s="8">
        <v>472</v>
      </c>
      <c r="O197" s="8"/>
      <c r="P197" s="8">
        <v>2285</v>
      </c>
      <c r="Q197" s="8">
        <v>2435</v>
      </c>
      <c r="R197" s="8">
        <v>4412</v>
      </c>
      <c r="S197" s="8">
        <v>3687</v>
      </c>
      <c r="T197" s="8">
        <v>2530</v>
      </c>
      <c r="U197" s="8">
        <v>4120</v>
      </c>
      <c r="V197" s="8">
        <v>44284</v>
      </c>
      <c r="W197" s="8">
        <v>47180</v>
      </c>
      <c r="X197" s="8">
        <v>42050</v>
      </c>
      <c r="Y197" s="8">
        <v>41306</v>
      </c>
      <c r="Z197" s="8">
        <v>44054</v>
      </c>
      <c r="AA197" s="8">
        <v>47738</v>
      </c>
      <c r="AB197" s="8">
        <v>53876</v>
      </c>
      <c r="AC197" s="8">
        <v>54812</v>
      </c>
      <c r="AD197" s="8">
        <v>57915</v>
      </c>
      <c r="AE197" s="8">
        <v>68720</v>
      </c>
      <c r="AF197" s="8">
        <v>85775</v>
      </c>
      <c r="AG197" s="8">
        <v>103094</v>
      </c>
      <c r="AH197" s="8">
        <v>115402</v>
      </c>
      <c r="AI197" s="8">
        <v>152784</v>
      </c>
      <c r="AJ197" s="8">
        <v>174425</v>
      </c>
      <c r="AK197" s="8">
        <v>168634</v>
      </c>
      <c r="AL197" s="8">
        <v>159954</v>
      </c>
      <c r="AM197" s="8">
        <v>167249</v>
      </c>
      <c r="AN197" s="8">
        <v>169197</v>
      </c>
      <c r="AO197" s="8">
        <v>176173</v>
      </c>
      <c r="AP197" s="8">
        <v>190070</v>
      </c>
      <c r="AQ197" s="8">
        <v>219555</v>
      </c>
      <c r="AR197" s="8">
        <v>237271</v>
      </c>
      <c r="AS197" s="8">
        <v>243354</v>
      </c>
      <c r="AT197" s="8">
        <v>267331</v>
      </c>
      <c r="AU197" s="8">
        <v>287124</v>
      </c>
      <c r="AV197" s="8">
        <v>320111</v>
      </c>
      <c r="AW197" s="8">
        <v>300914</v>
      </c>
      <c r="AX197" s="8">
        <v>343913</v>
      </c>
      <c r="AY197" s="228"/>
      <c r="AZ197" s="147" t="s">
        <v>260</v>
      </c>
      <c r="BA197" s="226">
        <v>-32099</v>
      </c>
      <c r="BB197" s="148">
        <f>AX196+BA197</f>
        <v>1037016</v>
      </c>
      <c r="BC197" s="150"/>
      <c r="BD197" s="226"/>
      <c r="BE197" s="148"/>
      <c r="BF197" s="150"/>
      <c r="BG197" s="76"/>
      <c r="BH197" s="238"/>
      <c r="BI197" s="239"/>
      <c r="BJ197" s="13"/>
      <c r="BK197" s="13"/>
    </row>
    <row r="198" spans="2:63" s="30" customFormat="1" x14ac:dyDescent="0.2">
      <c r="B198" s="43"/>
      <c r="C198" s="116" t="s">
        <v>43</v>
      </c>
      <c r="D198" s="14">
        <v>7030.2479999999996</v>
      </c>
      <c r="E198" s="14">
        <v>8724.7569999999996</v>
      </c>
      <c r="F198" s="29">
        <f>SUM(F192:F197)</f>
        <v>10776.459000000001</v>
      </c>
      <c r="G198" s="14">
        <v>13332.323999999999</v>
      </c>
      <c r="H198" s="29">
        <f>SUM(H192:H197)</f>
        <v>12011.401000000002</v>
      </c>
      <c r="I198" s="14">
        <v>11684.762000000001</v>
      </c>
      <c r="J198" s="29">
        <f>SUM(J192:J197)</f>
        <v>6861.7310000000007</v>
      </c>
      <c r="K198" s="14">
        <v>6877.1689999999999</v>
      </c>
      <c r="L198" s="29">
        <f>SUM(L192:L197)</f>
        <v>5386.1639999999998</v>
      </c>
      <c r="M198" s="14">
        <v>3327.6010000000001</v>
      </c>
      <c r="N198" s="29">
        <f>SUM(N192:N197)</f>
        <v>41452</v>
      </c>
      <c r="O198" s="14">
        <v>50648.12</v>
      </c>
      <c r="P198" s="29">
        <f>SUM(P192:P197)</f>
        <v>117122</v>
      </c>
      <c r="Q198" s="29">
        <f>SUM(Q192:Q197)</f>
        <v>121316</v>
      </c>
      <c r="R198" s="29">
        <f>SUM(R192:R197)</f>
        <v>159812</v>
      </c>
      <c r="S198" s="29">
        <f>SUM(S192:S197)</f>
        <v>129648</v>
      </c>
      <c r="T198" s="29">
        <f t="shared" ref="T198:Z198" si="124">SUM(T192:T197)</f>
        <v>131461</v>
      </c>
      <c r="U198" s="29">
        <f t="shared" si="124"/>
        <v>127338</v>
      </c>
      <c r="V198" s="29">
        <f t="shared" si="124"/>
        <v>204196</v>
      </c>
      <c r="W198" s="29">
        <f t="shared" si="124"/>
        <v>338429</v>
      </c>
      <c r="X198" s="29">
        <f>SUM(X192:X197)</f>
        <v>357733</v>
      </c>
      <c r="Y198" s="29">
        <f t="shared" si="124"/>
        <v>344873</v>
      </c>
      <c r="Z198" s="29">
        <f t="shared" si="124"/>
        <v>320133</v>
      </c>
      <c r="AA198" s="29">
        <f t="shared" ref="AA198:AF198" si="125">SUM(AA192:AA197)</f>
        <v>318491</v>
      </c>
      <c r="AB198" s="29">
        <f t="shared" si="125"/>
        <v>333987</v>
      </c>
      <c r="AC198" s="29">
        <f t="shared" si="125"/>
        <v>393143</v>
      </c>
      <c r="AD198" s="29">
        <f t="shared" si="125"/>
        <v>422346</v>
      </c>
      <c r="AE198" s="29">
        <f t="shared" si="125"/>
        <v>404115</v>
      </c>
      <c r="AF198" s="29">
        <f t="shared" si="125"/>
        <v>422597</v>
      </c>
      <c r="AG198" s="29">
        <f t="shared" ref="AG198:AL198" si="126">SUM(AG192:AG197)</f>
        <v>491644</v>
      </c>
      <c r="AH198" s="29">
        <f t="shared" si="126"/>
        <v>581469</v>
      </c>
      <c r="AI198" s="29">
        <f t="shared" si="126"/>
        <v>646432</v>
      </c>
      <c r="AJ198" s="29">
        <f t="shared" si="126"/>
        <v>711720</v>
      </c>
      <c r="AK198" s="29">
        <f t="shared" si="126"/>
        <v>658346</v>
      </c>
      <c r="AL198" s="29">
        <f t="shared" si="126"/>
        <v>664956</v>
      </c>
      <c r="AM198" s="29">
        <f t="shared" ref="AM198:AN198" si="127">SUM(AM192:AM197)</f>
        <v>766161</v>
      </c>
      <c r="AN198" s="29">
        <f t="shared" si="127"/>
        <v>840742</v>
      </c>
      <c r="AO198" s="29">
        <f t="shared" ref="AO198:AP198" si="128">SUM(AO192:AO197)</f>
        <v>879346</v>
      </c>
      <c r="AP198" s="29">
        <f t="shared" si="128"/>
        <v>898121</v>
      </c>
      <c r="AQ198" s="29">
        <f t="shared" ref="AQ198:AR198" si="129">SUM(AQ192:AQ197)</f>
        <v>1032157</v>
      </c>
      <c r="AR198" s="29">
        <f t="shared" si="129"/>
        <v>1144834</v>
      </c>
      <c r="AS198" s="29">
        <f t="shared" ref="AS198:AX198" si="130">SUM(AS192:AS197)</f>
        <v>1230714</v>
      </c>
      <c r="AT198" s="29">
        <f t="shared" si="130"/>
        <v>1294197</v>
      </c>
      <c r="AU198" s="29">
        <f t="shared" si="130"/>
        <v>1308012</v>
      </c>
      <c r="AV198" s="29">
        <f t="shared" si="130"/>
        <v>1429828</v>
      </c>
      <c r="AW198" s="29">
        <f t="shared" si="130"/>
        <v>1367730</v>
      </c>
      <c r="AX198" s="29">
        <f t="shared" si="130"/>
        <v>1453523</v>
      </c>
      <c r="AY198" s="251"/>
      <c r="AZ198" s="149" t="s">
        <v>261</v>
      </c>
      <c r="BA198" s="226">
        <v>-15851</v>
      </c>
      <c r="BB198" s="115">
        <f>AX197+BA198</f>
        <v>328062</v>
      </c>
      <c r="BC198" s="150"/>
      <c r="BD198" s="226"/>
      <c r="BE198" s="115"/>
      <c r="BF198" s="150"/>
      <c r="BG198" s="76"/>
      <c r="BH198" s="238"/>
      <c r="BI198" s="239"/>
      <c r="BJ198" s="43"/>
      <c r="BK198" s="43"/>
    </row>
    <row r="199" spans="2:63" s="6" customFormat="1" x14ac:dyDescent="0.2">
      <c r="B199" s="13"/>
      <c r="C199" s="13" t="s">
        <v>3</v>
      </c>
      <c r="D199" s="15">
        <f t="shared" ref="D199:AI199" si="131">D188+D198</f>
        <v>16870.714</v>
      </c>
      <c r="E199" s="15">
        <f t="shared" si="131"/>
        <v>8724.7569999999996</v>
      </c>
      <c r="F199" s="15">
        <f t="shared" si="131"/>
        <v>22994.312000000002</v>
      </c>
      <c r="G199" s="15">
        <f t="shared" si="131"/>
        <v>13332.323999999999</v>
      </c>
      <c r="H199" s="15">
        <f t="shared" si="131"/>
        <v>36190.096000000005</v>
      </c>
      <c r="I199" s="15">
        <f t="shared" si="131"/>
        <v>11684.762000000001</v>
      </c>
      <c r="J199" s="15">
        <f>J188+J198</f>
        <v>52500.506000000001</v>
      </c>
      <c r="K199" s="15">
        <f t="shared" si="131"/>
        <v>6877.1689999999999</v>
      </c>
      <c r="L199" s="15">
        <f t="shared" si="131"/>
        <v>66853.831000000006</v>
      </c>
      <c r="M199" s="15">
        <f t="shared" si="131"/>
        <v>3327.6010000000001</v>
      </c>
      <c r="N199" s="15">
        <f t="shared" si="131"/>
        <v>127844</v>
      </c>
      <c r="O199" s="15">
        <f t="shared" si="131"/>
        <v>50648.12</v>
      </c>
      <c r="P199" s="15">
        <f t="shared" si="131"/>
        <v>185138</v>
      </c>
      <c r="Q199" s="15">
        <f t="shared" si="131"/>
        <v>186491</v>
      </c>
      <c r="R199" s="15">
        <f t="shared" si="131"/>
        <v>246147</v>
      </c>
      <c r="S199" s="15">
        <f t="shared" si="131"/>
        <v>243738</v>
      </c>
      <c r="T199" s="15">
        <f t="shared" si="131"/>
        <v>275270</v>
      </c>
      <c r="U199" s="15">
        <f t="shared" si="131"/>
        <v>277527</v>
      </c>
      <c r="V199" s="15">
        <f t="shared" si="131"/>
        <v>377820</v>
      </c>
      <c r="W199" s="15">
        <f t="shared" si="131"/>
        <v>524087</v>
      </c>
      <c r="X199" s="15">
        <f t="shared" si="131"/>
        <v>558424</v>
      </c>
      <c r="Y199" s="15">
        <f t="shared" si="131"/>
        <v>559760</v>
      </c>
      <c r="Z199" s="15">
        <f t="shared" si="131"/>
        <v>555184</v>
      </c>
      <c r="AA199" s="15">
        <f t="shared" si="131"/>
        <v>573845</v>
      </c>
      <c r="AB199" s="15">
        <f t="shared" si="131"/>
        <v>608129</v>
      </c>
      <c r="AC199" s="15">
        <f t="shared" si="131"/>
        <v>679011</v>
      </c>
      <c r="AD199" s="15">
        <f t="shared" si="131"/>
        <v>707569</v>
      </c>
      <c r="AE199" s="15">
        <f t="shared" si="131"/>
        <v>712467</v>
      </c>
      <c r="AF199" s="15">
        <f t="shared" si="131"/>
        <v>743390</v>
      </c>
      <c r="AG199" s="15">
        <f t="shared" si="131"/>
        <v>829630</v>
      </c>
      <c r="AH199" s="15">
        <f t="shared" si="131"/>
        <v>1036008</v>
      </c>
      <c r="AI199" s="15">
        <f t="shared" si="131"/>
        <v>1136364</v>
      </c>
      <c r="AJ199" s="15">
        <f t="shared" ref="AJ199:AK199" si="132">AJ188+AJ198</f>
        <v>1252015</v>
      </c>
      <c r="AK199" s="15">
        <f t="shared" si="132"/>
        <v>1209682</v>
      </c>
      <c r="AL199" s="15">
        <f t="shared" ref="AL199:AM199" si="133">AL188+AL198</f>
        <v>1234061</v>
      </c>
      <c r="AM199" s="15">
        <f t="shared" si="133"/>
        <v>1371149</v>
      </c>
      <c r="AN199" s="15">
        <f t="shared" ref="AN199:AO199" si="134">AN188+AN198</f>
        <v>1467427</v>
      </c>
      <c r="AO199" s="15">
        <f t="shared" si="134"/>
        <v>1533715</v>
      </c>
      <c r="AP199" s="15">
        <f t="shared" ref="AP199:AQ199" si="135">AP188+AP198</f>
        <v>1614926</v>
      </c>
      <c r="AQ199" s="15">
        <f t="shared" si="135"/>
        <v>1809372</v>
      </c>
      <c r="AR199" s="15">
        <f t="shared" ref="AR199:AS199" si="136">AR188+AR198</f>
        <v>1982754</v>
      </c>
      <c r="AS199" s="15">
        <f t="shared" si="136"/>
        <v>2331884</v>
      </c>
      <c r="AT199" s="15">
        <f t="shared" ref="AT199:AU199" si="137">AT188+AT198</f>
        <v>2475693</v>
      </c>
      <c r="AU199" s="15">
        <f t="shared" si="137"/>
        <v>2592090</v>
      </c>
      <c r="AV199" s="15">
        <f t="shared" ref="AV199:AW199" si="138">AV188+AV198</f>
        <v>2782130</v>
      </c>
      <c r="AW199" s="15">
        <f t="shared" si="138"/>
        <v>2743732</v>
      </c>
      <c r="AX199" s="15">
        <f t="shared" ref="AX199" si="139">AX188+AX198</f>
        <v>2844991</v>
      </c>
      <c r="AY199" s="13"/>
      <c r="AZ199" s="147" t="s">
        <v>262</v>
      </c>
      <c r="BA199" s="226">
        <v>-381</v>
      </c>
      <c r="BB199" s="148">
        <f>AX195+BA199</f>
        <v>39072</v>
      </c>
      <c r="BC199" s="150"/>
      <c r="BD199" s="226"/>
      <c r="BE199" s="148"/>
      <c r="BF199" s="150"/>
      <c r="BG199" s="226"/>
      <c r="BH199" s="238"/>
      <c r="BJ199" s="13"/>
      <c r="BK199" s="13"/>
    </row>
    <row r="200" spans="2:63" s="6" customFormat="1" x14ac:dyDescent="0.2">
      <c r="B200" s="13"/>
      <c r="C200" s="13" t="s">
        <v>354</v>
      </c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T200" s="15"/>
      <c r="U200" s="15"/>
      <c r="V200" s="15"/>
      <c r="W200" s="15"/>
      <c r="X200" s="15"/>
      <c r="Y200" s="15"/>
      <c r="Z200" s="15"/>
      <c r="AA200" s="15"/>
      <c r="AB200" s="15">
        <f t="shared" ref="AB200:AI200" si="140">AB195+AB196+AB197+AB188</f>
        <v>495509</v>
      </c>
      <c r="AC200" s="15">
        <f t="shared" si="140"/>
        <v>549239</v>
      </c>
      <c r="AD200" s="15">
        <f t="shared" si="140"/>
        <v>590145</v>
      </c>
      <c r="AE200" s="15">
        <f t="shared" si="140"/>
        <v>600288</v>
      </c>
      <c r="AF200" s="15">
        <f t="shared" si="140"/>
        <v>677432</v>
      </c>
      <c r="AG200" s="15">
        <f t="shared" si="140"/>
        <v>785127</v>
      </c>
      <c r="AH200" s="15">
        <f t="shared" si="140"/>
        <v>1000233</v>
      </c>
      <c r="AI200" s="15">
        <f t="shared" si="140"/>
        <v>1103049</v>
      </c>
      <c r="AJ200" s="15">
        <f t="shared" ref="AJ200:AK200" si="141">AJ195+AJ196+AJ197+AJ188</f>
        <v>1224977</v>
      </c>
      <c r="AK200" s="15">
        <f t="shared" si="141"/>
        <v>1184670</v>
      </c>
      <c r="AL200" s="15">
        <f t="shared" ref="AL200:AM200" si="142">AL195+AL196+AL197+AL188</f>
        <v>1221729</v>
      </c>
      <c r="AM200" s="15">
        <f t="shared" si="142"/>
        <v>1359463</v>
      </c>
      <c r="AN200" s="15">
        <f t="shared" ref="AN200:AO200" si="143">AN195+AN196+AN197+AN188</f>
        <v>1457906</v>
      </c>
      <c r="AO200" s="15">
        <f t="shared" si="143"/>
        <v>1524602</v>
      </c>
      <c r="AP200" s="15">
        <f t="shared" ref="AP200:AQ200" si="144">AP195+AP196+AP197+AP188</f>
        <v>1612008</v>
      </c>
      <c r="AQ200" s="15">
        <f t="shared" si="144"/>
        <v>1792844</v>
      </c>
      <c r="AR200" s="15">
        <f t="shared" ref="AR200:AS200" si="145">AR195+AR196+AR197+AR188</f>
        <v>1980794</v>
      </c>
      <c r="AS200" s="15">
        <f t="shared" si="145"/>
        <v>2329886</v>
      </c>
      <c r="AT200" s="15">
        <f t="shared" ref="AT200:AU200" si="146">AT195+AT196+AT197+AT188</f>
        <v>2473749</v>
      </c>
      <c r="AU200" s="15">
        <f t="shared" si="146"/>
        <v>2590110</v>
      </c>
      <c r="AV200" s="15">
        <f t="shared" ref="AV200:AW200" si="147">AV195+AV196+AV197+AV188</f>
        <v>2781076</v>
      </c>
      <c r="AW200" s="15">
        <f t="shared" si="147"/>
        <v>2742657</v>
      </c>
      <c r="AX200" s="15">
        <f t="shared" ref="AX200" si="148">AX195+AX196+AX197+AX188</f>
        <v>2843949</v>
      </c>
      <c r="AY200" s="13"/>
      <c r="AZ200" s="13"/>
      <c r="BA200" s="13"/>
      <c r="BB200" s="15"/>
      <c r="BC200" s="260"/>
      <c r="BD200" s="13"/>
      <c r="BE200" s="15"/>
      <c r="BG200" s="76"/>
      <c r="BH200" s="13"/>
      <c r="BI200" s="13"/>
      <c r="BJ200" s="13"/>
      <c r="BK200" s="13"/>
    </row>
    <row r="201" spans="2:63" s="6" customFormat="1" x14ac:dyDescent="0.2">
      <c r="B201" s="13"/>
      <c r="C201" s="13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3"/>
      <c r="AZ201" s="13"/>
      <c r="BA201" s="15"/>
      <c r="BB201" s="15"/>
      <c r="BC201" s="15"/>
      <c r="BD201" s="15"/>
      <c r="BE201" s="15"/>
      <c r="BG201" s="15"/>
      <c r="BH201" s="13"/>
      <c r="BI201" s="13"/>
      <c r="BJ201" s="13"/>
      <c r="BK201" s="13"/>
    </row>
    <row r="202" spans="2:63" s="6" customFormat="1" x14ac:dyDescent="0.2">
      <c r="B202" s="13"/>
      <c r="C202" s="9" t="s">
        <v>110</v>
      </c>
      <c r="D202" s="8"/>
      <c r="E202" s="8"/>
      <c r="F202" s="20"/>
      <c r="G202" s="8"/>
      <c r="H202" s="20"/>
      <c r="I202" s="8"/>
      <c r="J202" s="20">
        <f>-3203.795-489.984-7.82-3.757-9.546</f>
        <v>-3714.902</v>
      </c>
      <c r="K202" s="8"/>
      <c r="L202" s="20">
        <f>-5572.181-659.122-4.253</f>
        <v>-6235.5559999999996</v>
      </c>
      <c r="M202" s="8"/>
      <c r="N202" s="20"/>
      <c r="O202" s="8"/>
      <c r="P202" s="20">
        <f t="shared" ref="P202:AX202" si="149">P205+P206+P203+P204</f>
        <v>-9134</v>
      </c>
      <c r="Q202" s="20">
        <f t="shared" si="149"/>
        <v>-7588</v>
      </c>
      <c r="R202" s="20">
        <f t="shared" si="149"/>
        <v>-6034</v>
      </c>
      <c r="S202" s="20">
        <f t="shared" si="149"/>
        <v>-6425</v>
      </c>
      <c r="T202" s="20">
        <f t="shared" si="149"/>
        <v>-7157</v>
      </c>
      <c r="U202" s="20">
        <f t="shared" si="149"/>
        <v>0</v>
      </c>
      <c r="V202" s="20">
        <f t="shared" si="149"/>
        <v>-10934</v>
      </c>
      <c r="W202" s="20">
        <f t="shared" si="149"/>
        <v>-11147</v>
      </c>
      <c r="X202" s="20">
        <f t="shared" si="149"/>
        <v>-10643</v>
      </c>
      <c r="Y202" s="20">
        <f t="shared" si="149"/>
        <v>0</v>
      </c>
      <c r="Z202" s="20">
        <f t="shared" si="149"/>
        <v>-11989</v>
      </c>
      <c r="AA202" s="20">
        <f t="shared" si="149"/>
        <v>-12924</v>
      </c>
      <c r="AB202" s="20">
        <f t="shared" si="149"/>
        <v>-14256</v>
      </c>
      <c r="AC202" s="20">
        <f t="shared" si="149"/>
        <v>-16477</v>
      </c>
      <c r="AD202" s="20">
        <f t="shared" si="149"/>
        <v>-19650</v>
      </c>
      <c r="AE202" s="20">
        <f t="shared" si="149"/>
        <v>-22103</v>
      </c>
      <c r="AF202" s="20">
        <f t="shared" si="149"/>
        <v>-22833</v>
      </c>
      <c r="AG202" s="20">
        <f t="shared" si="149"/>
        <v>-21767</v>
      </c>
      <c r="AH202" s="20">
        <f t="shared" si="149"/>
        <v>-25127</v>
      </c>
      <c r="AI202" s="20">
        <f t="shared" si="149"/>
        <v>-25941</v>
      </c>
      <c r="AJ202" s="20">
        <f t="shared" si="149"/>
        <v>-33170</v>
      </c>
      <c r="AK202" s="20">
        <f t="shared" si="149"/>
        <v>-35839</v>
      </c>
      <c r="AL202" s="20">
        <f t="shared" si="149"/>
        <v>-38363</v>
      </c>
      <c r="AM202" s="20">
        <f t="shared" si="149"/>
        <v>-40747</v>
      </c>
      <c r="AN202" s="20">
        <f t="shared" si="149"/>
        <v>-42808</v>
      </c>
      <c r="AO202" s="20">
        <f t="shared" si="149"/>
        <v>-43445</v>
      </c>
      <c r="AP202" s="20">
        <f t="shared" si="149"/>
        <v>-43238</v>
      </c>
      <c r="AQ202" s="20">
        <f t="shared" si="149"/>
        <v>-42662</v>
      </c>
      <c r="AR202" s="20">
        <f t="shared" si="149"/>
        <v>-41957</v>
      </c>
      <c r="AS202" s="20">
        <f t="shared" si="149"/>
        <v>-49021</v>
      </c>
      <c r="AT202" s="20">
        <f t="shared" si="149"/>
        <v>-60711</v>
      </c>
      <c r="AU202" s="20">
        <f t="shared" si="149"/>
        <v>-72579</v>
      </c>
      <c r="AV202" s="20">
        <f t="shared" si="149"/>
        <v>-73469</v>
      </c>
      <c r="AW202" s="20">
        <f t="shared" si="149"/>
        <v>-78418</v>
      </c>
      <c r="AX202" s="20">
        <f t="shared" si="149"/>
        <v>-88462</v>
      </c>
      <c r="AY202" s="13"/>
      <c r="AZ202" s="147" t="s">
        <v>505</v>
      </c>
      <c r="BA202" s="323">
        <f>AX192+AX209</f>
        <v>1033</v>
      </c>
      <c r="BB202" s="146" t="s">
        <v>263</v>
      </c>
      <c r="BC202" s="13"/>
      <c r="BH202" s="13"/>
      <c r="BI202" s="13"/>
      <c r="BJ202" s="13"/>
      <c r="BK202" s="13"/>
    </row>
    <row r="203" spans="2:63" s="6" customFormat="1" x14ac:dyDescent="0.2">
      <c r="B203" s="13"/>
      <c r="C203" s="117" t="s">
        <v>242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106"/>
      <c r="P203" s="106">
        <v>0</v>
      </c>
      <c r="Q203" s="106">
        <v>0</v>
      </c>
      <c r="R203" s="106">
        <v>0</v>
      </c>
      <c r="S203" s="106">
        <v>-319</v>
      </c>
      <c r="T203" s="106">
        <v>-1012</v>
      </c>
      <c r="U203" s="106"/>
      <c r="V203" s="106">
        <v>-2469</v>
      </c>
      <c r="W203" s="106">
        <v>-2895</v>
      </c>
      <c r="X203" s="106">
        <f>-2953</f>
        <v>-2953</v>
      </c>
      <c r="Y203" s="106"/>
      <c r="Z203" s="106">
        <v>-3178</v>
      </c>
      <c r="AA203" s="106">
        <v>-3282</v>
      </c>
      <c r="AB203" s="106">
        <v>-3472</v>
      </c>
      <c r="AC203" s="106">
        <v>-3547</v>
      </c>
      <c r="AD203" s="106">
        <v>-4675</v>
      </c>
      <c r="AE203" s="106">
        <v>-5081</v>
      </c>
      <c r="AF203" s="106">
        <v>-4835</v>
      </c>
      <c r="AG203" s="106">
        <v>-4163</v>
      </c>
      <c r="AH203" s="106">
        <v>-3116</v>
      </c>
      <c r="AI203" s="106">
        <v>-3233</v>
      </c>
      <c r="AJ203" s="106">
        <v>-3193</v>
      </c>
      <c r="AK203" s="106">
        <v>-3298</v>
      </c>
      <c r="AL203" s="106">
        <v>-3724</v>
      </c>
      <c r="AM203" s="106">
        <v>-3915</v>
      </c>
      <c r="AN203" s="106">
        <v>-4208</v>
      </c>
      <c r="AO203" s="106">
        <v>-4526</v>
      </c>
      <c r="AP203" s="106">
        <v>-4717</v>
      </c>
      <c r="AQ203" s="106">
        <v>-4941</v>
      </c>
      <c r="AR203" s="106">
        <v>-4500</v>
      </c>
      <c r="AS203" s="106">
        <v>-4875</v>
      </c>
      <c r="AT203" s="106">
        <v>-5990</v>
      </c>
      <c r="AU203" s="106">
        <v>-8678</v>
      </c>
      <c r="AV203" s="106">
        <v>-9879</v>
      </c>
      <c r="AW203" s="106">
        <v>-12195</v>
      </c>
      <c r="AX203" s="106">
        <v>-16350</v>
      </c>
      <c r="AY203" s="13"/>
      <c r="AZ203" s="13"/>
      <c r="BA203" s="315"/>
      <c r="BB203" s="146"/>
      <c r="BC203" s="13"/>
      <c r="BH203" s="13"/>
      <c r="BI203" s="13"/>
      <c r="BJ203" s="13"/>
      <c r="BK203" s="13"/>
    </row>
    <row r="204" spans="2:63" s="6" customFormat="1" x14ac:dyDescent="0.2">
      <c r="B204" s="13"/>
      <c r="C204" s="117" t="s">
        <v>42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106"/>
      <c r="P204" s="106">
        <v>-307</v>
      </c>
      <c r="Q204" s="106">
        <v>-438</v>
      </c>
      <c r="R204" s="106">
        <v>-357</v>
      </c>
      <c r="S204" s="106">
        <v>-608</v>
      </c>
      <c r="T204" s="106">
        <v>-700</v>
      </c>
      <c r="U204" s="106"/>
      <c r="V204" s="106">
        <v>-1982</v>
      </c>
      <c r="W204" s="106">
        <v>-2095</v>
      </c>
      <c r="X204" s="106">
        <f>-1946</f>
        <v>-1946</v>
      </c>
      <c r="Y204" s="106"/>
      <c r="Z204" s="106">
        <v>-2367</v>
      </c>
      <c r="AA204" s="106">
        <v>-2319</v>
      </c>
      <c r="AB204" s="106">
        <v>-2515</v>
      </c>
      <c r="AC204" s="106">
        <v>-2854</v>
      </c>
      <c r="AD204" s="106">
        <v>-3288</v>
      </c>
      <c r="AE204" s="106">
        <v>-3474</v>
      </c>
      <c r="AF204" s="106">
        <v>-3452</v>
      </c>
      <c r="AG204" s="106">
        <v>-3333</v>
      </c>
      <c r="AH204" s="106">
        <v>-3198</v>
      </c>
      <c r="AI204" s="106">
        <v>-3203</v>
      </c>
      <c r="AJ204" s="106">
        <v>-3781</v>
      </c>
      <c r="AK204" s="106">
        <v>-4092</v>
      </c>
      <c r="AL204" s="106">
        <v>-4662</v>
      </c>
      <c r="AM204" s="106">
        <v>-5080</v>
      </c>
      <c r="AN204" s="106">
        <v>-5452</v>
      </c>
      <c r="AO204" s="106">
        <v>-6038</v>
      </c>
      <c r="AP204" s="106">
        <v>-6256</v>
      </c>
      <c r="AQ204" s="106">
        <v>-6384</v>
      </c>
      <c r="AR204" s="106">
        <v>-5707</v>
      </c>
      <c r="AS204" s="106">
        <v>-6359</v>
      </c>
      <c r="AT204" s="106">
        <v>-6937</v>
      </c>
      <c r="AU204" s="106">
        <v>-7309</v>
      </c>
      <c r="AV204" s="106">
        <v>-7361</v>
      </c>
      <c r="AW204" s="106">
        <v>-7431</v>
      </c>
      <c r="AX204" s="106">
        <v>-8129</v>
      </c>
      <c r="AY204" s="13"/>
      <c r="AZ204" s="149"/>
      <c r="BA204" s="148"/>
      <c r="BB204" s="227"/>
      <c r="BC204" s="13"/>
      <c r="BH204" s="13"/>
      <c r="BI204" s="13"/>
      <c r="BJ204" s="13"/>
      <c r="BK204" s="13"/>
    </row>
    <row r="205" spans="2:63" s="6" customFormat="1" x14ac:dyDescent="0.2">
      <c r="B205" s="13"/>
      <c r="C205" s="117" t="s">
        <v>240</v>
      </c>
      <c r="D205" s="106"/>
      <c r="E205" s="8"/>
      <c r="F205" s="106"/>
      <c r="G205" s="8"/>
      <c r="H205" s="106"/>
      <c r="I205" s="8"/>
      <c r="J205" s="106"/>
      <c r="K205" s="8"/>
      <c r="L205" s="106"/>
      <c r="M205" s="8"/>
      <c r="N205" s="106"/>
      <c r="O205" s="106"/>
      <c r="P205" s="106">
        <v>-7680</v>
      </c>
      <c r="Q205" s="106">
        <v>-5960</v>
      </c>
      <c r="R205" s="106">
        <v>-4848</v>
      </c>
      <c r="S205" s="106">
        <v>-4776</v>
      </c>
      <c r="T205" s="106">
        <v>-4364</v>
      </c>
      <c r="U205" s="106"/>
      <c r="V205" s="106">
        <v>-5169</v>
      </c>
      <c r="W205" s="106">
        <v>-4915</v>
      </c>
      <c r="X205" s="106">
        <v>-4485</v>
      </c>
      <c r="Y205" s="106"/>
      <c r="Z205" s="106">
        <v>-4844</v>
      </c>
      <c r="AA205" s="106">
        <v>-5313</v>
      </c>
      <c r="AB205" s="106">
        <v>-5636</v>
      </c>
      <c r="AC205" s="106">
        <v>-6198</v>
      </c>
      <c r="AD205" s="106">
        <v>-7302</v>
      </c>
      <c r="AE205" s="106">
        <v>-8042</v>
      </c>
      <c r="AF205" s="106">
        <v>-8332</v>
      </c>
      <c r="AG205" s="106">
        <v>-8206</v>
      </c>
      <c r="AH205" s="106">
        <v>-8575</v>
      </c>
      <c r="AI205" s="106">
        <v>-8718</v>
      </c>
      <c r="AJ205" s="106">
        <v>-16660</v>
      </c>
      <c r="AK205" s="106">
        <v>-17913</v>
      </c>
      <c r="AL205" s="106">
        <v>-18988</v>
      </c>
      <c r="AM205" s="106">
        <v>-19971</v>
      </c>
      <c r="AN205" s="106">
        <v>-20347</v>
      </c>
      <c r="AO205" s="106">
        <v>-20609</v>
      </c>
      <c r="AP205" s="106">
        <v>-21397</v>
      </c>
      <c r="AQ205" s="106">
        <v>-20991</v>
      </c>
      <c r="AR205" s="106">
        <v>-20775</v>
      </c>
      <c r="AS205" s="106">
        <v>-25446</v>
      </c>
      <c r="AT205" s="106">
        <v>-33193</v>
      </c>
      <c r="AU205" s="106">
        <v>-40614</v>
      </c>
      <c r="AV205" s="106">
        <v>-40102</v>
      </c>
      <c r="AW205" s="106">
        <v>-42674</v>
      </c>
      <c r="AX205" s="106">
        <v>-47013</v>
      </c>
      <c r="AY205" s="13"/>
      <c r="AZ205" s="149"/>
      <c r="BA205" s="226"/>
      <c r="BB205" s="148"/>
      <c r="BC205" s="13"/>
      <c r="BH205" s="13"/>
      <c r="BI205" s="13"/>
      <c r="BJ205" s="13"/>
      <c r="BK205" s="13"/>
    </row>
    <row r="206" spans="2:63" s="6" customFormat="1" x14ac:dyDescent="0.2">
      <c r="B206" s="13"/>
      <c r="C206" s="117" t="s">
        <v>241</v>
      </c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106"/>
      <c r="P206" s="106">
        <v>-1147</v>
      </c>
      <c r="Q206" s="106">
        <v>-1190</v>
      </c>
      <c r="R206" s="106">
        <v>-829</v>
      </c>
      <c r="S206" s="106">
        <v>-722</v>
      </c>
      <c r="T206" s="106">
        <v>-1081</v>
      </c>
      <c r="U206" s="106"/>
      <c r="V206" s="106">
        <v>-1314</v>
      </c>
      <c r="W206" s="106">
        <v>-1242</v>
      </c>
      <c r="X206" s="106">
        <v>-1259</v>
      </c>
      <c r="Y206" s="106"/>
      <c r="Z206" s="106">
        <v>-1600</v>
      </c>
      <c r="AA206" s="106">
        <v>-2010</v>
      </c>
      <c r="AB206" s="106">
        <v>-2633</v>
      </c>
      <c r="AC206" s="106">
        <v>-3878</v>
      </c>
      <c r="AD206" s="106">
        <v>-4385</v>
      </c>
      <c r="AE206" s="106">
        <v>-5506</v>
      </c>
      <c r="AF206" s="106">
        <v>-6214</v>
      </c>
      <c r="AG206" s="106">
        <v>-6065</v>
      </c>
      <c r="AH206" s="106">
        <v>-10238</v>
      </c>
      <c r="AI206" s="106">
        <v>-10787</v>
      </c>
      <c r="AJ206" s="106">
        <v>-9536</v>
      </c>
      <c r="AK206" s="106">
        <v>-10536</v>
      </c>
      <c r="AL206" s="106">
        <v>-10989</v>
      </c>
      <c r="AM206" s="106">
        <v>-11781</v>
      </c>
      <c r="AN206" s="106">
        <v>-12801</v>
      </c>
      <c r="AO206" s="106">
        <v>-12272</v>
      </c>
      <c r="AP206" s="106">
        <v>-10868</v>
      </c>
      <c r="AQ206" s="106">
        <v>-10346</v>
      </c>
      <c r="AR206" s="106">
        <v>-10975</v>
      </c>
      <c r="AS206" s="106">
        <v>-12341</v>
      </c>
      <c r="AT206" s="106">
        <v>-14591</v>
      </c>
      <c r="AU206" s="106">
        <v>-15978</v>
      </c>
      <c r="AV206" s="106">
        <v>-16127</v>
      </c>
      <c r="AW206" s="106">
        <v>-16118</v>
      </c>
      <c r="AX206" s="106">
        <v>-16970</v>
      </c>
      <c r="AY206" s="13"/>
      <c r="AZ206" s="149"/>
      <c r="BA206" s="226"/>
      <c r="BB206" s="115"/>
      <c r="BC206" s="13"/>
      <c r="BH206" s="13"/>
      <c r="BI206" s="13"/>
      <c r="BJ206" s="13"/>
      <c r="BK206" s="13"/>
    </row>
    <row r="207" spans="2:63" s="6" customFormat="1" x14ac:dyDescent="0.2">
      <c r="B207" s="13"/>
      <c r="C207" s="9" t="s">
        <v>111</v>
      </c>
      <c r="D207" s="8"/>
      <c r="E207" s="8"/>
      <c r="F207" s="20"/>
      <c r="G207" s="8"/>
      <c r="H207" s="20"/>
      <c r="I207" s="8"/>
      <c r="J207" s="20">
        <f>SUM(J208:J209)</f>
        <v>-371.31199999999995</v>
      </c>
      <c r="K207" s="8"/>
      <c r="L207" s="20">
        <f>SUM(L208:L209)</f>
        <v>-152.76</v>
      </c>
      <c r="M207" s="8"/>
      <c r="N207" s="20">
        <f>SUM(N208:N209)</f>
        <v>-328.43200000000002</v>
      </c>
      <c r="O207" s="8"/>
      <c r="P207" s="20">
        <f>-(496+60+239)</f>
        <v>-795</v>
      </c>
      <c r="Q207" s="20">
        <v>-1264</v>
      </c>
      <c r="R207" s="20">
        <f>-(1143+189+361)</f>
        <v>-1693</v>
      </c>
      <c r="S207" s="20">
        <v>-1435</v>
      </c>
      <c r="T207" s="20">
        <f>-1513-230-125</f>
        <v>-1868</v>
      </c>
      <c r="U207" s="20">
        <f>-1064-2014-365</f>
        <v>-3443</v>
      </c>
      <c r="V207" s="20">
        <f>-(4491+41+695)</f>
        <v>-5227</v>
      </c>
      <c r="W207" s="20">
        <f>-(4571+21+774)</f>
        <v>-5366</v>
      </c>
      <c r="X207" s="20">
        <f>-(4921+42+1340)</f>
        <v>-6303</v>
      </c>
      <c r="Y207" s="20">
        <f>-(4830+37+1385)</f>
        <v>-6252</v>
      </c>
      <c r="Z207" s="20">
        <v>-7289</v>
      </c>
      <c r="AA207" s="20">
        <v>-8009</v>
      </c>
      <c r="AB207" s="20">
        <v>-8653</v>
      </c>
      <c r="AC207" s="20">
        <v>-9400</v>
      </c>
      <c r="AD207" s="20">
        <f t="shared" ref="AD207:AX207" si="150">SUM(AD208:AD209)</f>
        <v>-9899</v>
      </c>
      <c r="AE207" s="20">
        <f t="shared" si="150"/>
        <v>-9255</v>
      </c>
      <c r="AF207" s="20">
        <f t="shared" si="150"/>
        <v>-9445</v>
      </c>
      <c r="AG207" s="20">
        <f t="shared" si="150"/>
        <v>-11147</v>
      </c>
      <c r="AH207" s="20">
        <f t="shared" si="150"/>
        <v>-13166</v>
      </c>
      <c r="AI207" s="20">
        <f t="shared" si="150"/>
        <v>-17222</v>
      </c>
      <c r="AJ207" s="20">
        <f t="shared" si="150"/>
        <v>-21990</v>
      </c>
      <c r="AK207" s="20">
        <f t="shared" si="150"/>
        <v>-34582</v>
      </c>
      <c r="AL207" s="20">
        <f t="shared" si="150"/>
        <v>-31667</v>
      </c>
      <c r="AM207" s="20">
        <f t="shared" si="150"/>
        <v>-36895</v>
      </c>
      <c r="AN207" s="20">
        <f t="shared" si="150"/>
        <v>-37695</v>
      </c>
      <c r="AO207" s="20">
        <f t="shared" si="150"/>
        <v>-42699</v>
      </c>
      <c r="AP207" s="20">
        <f t="shared" si="150"/>
        <v>-44756</v>
      </c>
      <c r="AQ207" s="20">
        <f t="shared" si="150"/>
        <v>-44502</v>
      </c>
      <c r="AR207" s="20">
        <f t="shared" si="150"/>
        <v>-46260</v>
      </c>
      <c r="AS207" s="20">
        <f t="shared" si="150"/>
        <v>-47263</v>
      </c>
      <c r="AT207" s="20">
        <f t="shared" si="150"/>
        <v>-46279</v>
      </c>
      <c r="AU207" s="20">
        <f t="shared" si="150"/>
        <v>-44762</v>
      </c>
      <c r="AV207" s="20">
        <f t="shared" si="150"/>
        <v>-44670</v>
      </c>
      <c r="AW207" s="20">
        <f t="shared" si="150"/>
        <v>-45259</v>
      </c>
      <c r="AX207" s="20">
        <f t="shared" si="150"/>
        <v>-48340</v>
      </c>
      <c r="AY207" s="13"/>
      <c r="AZ207" s="147"/>
      <c r="BA207" s="148"/>
      <c r="BB207" s="150"/>
      <c r="BC207" s="13"/>
      <c r="BH207" s="13"/>
      <c r="BI207" s="13"/>
      <c r="BJ207" s="13"/>
      <c r="BK207" s="13"/>
    </row>
    <row r="208" spans="2:63" s="308" customFormat="1" x14ac:dyDescent="0.2">
      <c r="B208" s="306"/>
      <c r="C208" s="270" t="s">
        <v>43</v>
      </c>
      <c r="D208" s="125"/>
      <c r="E208" s="125"/>
      <c r="F208" s="125"/>
      <c r="G208" s="125"/>
      <c r="H208" s="125"/>
      <c r="I208" s="125"/>
      <c r="J208" s="125">
        <f>-283.506-70.971-16.835</f>
        <v>-371.31199999999995</v>
      </c>
      <c r="K208" s="125"/>
      <c r="L208" s="125">
        <f>-81.62-71.14</f>
        <v>-152.76</v>
      </c>
      <c r="M208" s="125"/>
      <c r="N208" s="125">
        <f>-15.762-312.67</f>
        <v>-328.43200000000002</v>
      </c>
      <c r="O208" s="125"/>
      <c r="P208" s="125">
        <f>P207</f>
        <v>-795</v>
      </c>
      <c r="Q208" s="125"/>
      <c r="R208" s="125">
        <f>R207</f>
        <v>-1693</v>
      </c>
      <c r="S208" s="125">
        <f t="shared" ref="S208:AB208" si="151">S207-S209</f>
        <v>-998</v>
      </c>
      <c r="T208" s="125">
        <f t="shared" si="151"/>
        <v>-1621</v>
      </c>
      <c r="U208" s="125">
        <f t="shared" si="151"/>
        <v>-3257.8760000000002</v>
      </c>
      <c r="V208" s="125">
        <f t="shared" si="151"/>
        <v>-5056</v>
      </c>
      <c r="W208" s="125">
        <f t="shared" si="151"/>
        <v>-4327.2129999999997</v>
      </c>
      <c r="X208" s="125">
        <f t="shared" si="151"/>
        <v>-5390.6849999999995</v>
      </c>
      <c r="Y208" s="125">
        <f t="shared" si="151"/>
        <v>-5515.0966322599998</v>
      </c>
      <c r="Z208" s="125">
        <f t="shared" si="151"/>
        <v>-6963.7920000000004</v>
      </c>
      <c r="AA208" s="125">
        <f t="shared" si="151"/>
        <v>-7541.1660000000002</v>
      </c>
      <c r="AB208" s="125">
        <f t="shared" si="151"/>
        <v>-8228</v>
      </c>
      <c r="AC208" s="125">
        <v>-9037</v>
      </c>
      <c r="AD208" s="125">
        <v>-9572</v>
      </c>
      <c r="AE208" s="125">
        <v>-8879</v>
      </c>
      <c r="AF208" s="125">
        <v>-9235</v>
      </c>
      <c r="AG208" s="125">
        <v>-10975</v>
      </c>
      <c r="AH208" s="125">
        <v>-13023</v>
      </c>
      <c r="AI208" s="125">
        <v>-17080</v>
      </c>
      <c r="AJ208" s="125">
        <v>-21868</v>
      </c>
      <c r="AK208" s="125">
        <v>-34468</v>
      </c>
      <c r="AL208" s="125">
        <v>-31603</v>
      </c>
      <c r="AM208" s="125">
        <v>-36839</v>
      </c>
      <c r="AN208" s="125">
        <v>-37674</v>
      </c>
      <c r="AO208" s="125">
        <v>-42680</v>
      </c>
      <c r="AP208" s="125">
        <v>-44737</v>
      </c>
      <c r="AQ208" s="125">
        <v>-44467</v>
      </c>
      <c r="AR208" s="125">
        <v>-46254</v>
      </c>
      <c r="AS208" s="125">
        <v>-47257</v>
      </c>
      <c r="AT208" s="125">
        <v>-46273</v>
      </c>
      <c r="AU208" s="125">
        <v>-44756</v>
      </c>
      <c r="AV208" s="125">
        <v>-44661</v>
      </c>
      <c r="AW208" s="125">
        <v>-45250</v>
      </c>
      <c r="AX208" s="125">
        <v>-48331</v>
      </c>
      <c r="AY208" s="307"/>
      <c r="BA208" s="316"/>
      <c r="BH208" s="306"/>
      <c r="BI208" s="306"/>
      <c r="BJ208" s="306"/>
      <c r="BK208" s="306"/>
    </row>
    <row r="209" spans="2:64" s="308" customFormat="1" x14ac:dyDescent="0.2">
      <c r="B209" s="306"/>
      <c r="C209" s="270" t="s">
        <v>259</v>
      </c>
      <c r="D209" s="125"/>
      <c r="E209" s="125"/>
      <c r="F209" s="125"/>
      <c r="G209" s="125"/>
      <c r="H209" s="125"/>
      <c r="I209" s="125"/>
      <c r="J209" s="125">
        <v>0</v>
      </c>
      <c r="K209" s="125"/>
      <c r="L209" s="125">
        <v>0</v>
      </c>
      <c r="M209" s="125"/>
      <c r="N209" s="125"/>
      <c r="O209" s="125"/>
      <c r="P209" s="125"/>
      <c r="Q209" s="125"/>
      <c r="R209" s="125">
        <v>0</v>
      </c>
      <c r="S209" s="125">
        <v>-437</v>
      </c>
      <c r="T209" s="125">
        <f>-247</f>
        <v>-247</v>
      </c>
      <c r="U209" s="125">
        <v>-185.124</v>
      </c>
      <c r="V209" s="125">
        <v>-171</v>
      </c>
      <c r="W209" s="125">
        <v>-1038.787</v>
      </c>
      <c r="X209" s="125">
        <v>-912.31500000000005</v>
      </c>
      <c r="Y209" s="125">
        <v>-736.90336773999991</v>
      </c>
      <c r="Z209" s="125">
        <v>-325.20800000000003</v>
      </c>
      <c r="AA209" s="125">
        <v>-467.834</v>
      </c>
      <c r="AB209" s="125">
        <v>-425</v>
      </c>
      <c r="AC209" s="125">
        <v>-363</v>
      </c>
      <c r="AD209" s="125">
        <v>-327</v>
      </c>
      <c r="AE209" s="125">
        <v>-376</v>
      </c>
      <c r="AF209" s="125">
        <v>-210</v>
      </c>
      <c r="AG209" s="125">
        <v>-172</v>
      </c>
      <c r="AH209" s="125">
        <v>-143</v>
      </c>
      <c r="AI209" s="125">
        <v>-142</v>
      </c>
      <c r="AJ209" s="125">
        <v>-122</v>
      </c>
      <c r="AK209" s="125">
        <v>-114</v>
      </c>
      <c r="AL209" s="125">
        <v>-64</v>
      </c>
      <c r="AM209" s="125">
        <v>-56</v>
      </c>
      <c r="AN209" s="125">
        <v>-21</v>
      </c>
      <c r="AO209" s="125">
        <v>-19</v>
      </c>
      <c r="AP209" s="125">
        <v>-19</v>
      </c>
      <c r="AQ209" s="125">
        <v>-35</v>
      </c>
      <c r="AR209" s="125">
        <v>-6</v>
      </c>
      <c r="AS209" s="125">
        <v>-6</v>
      </c>
      <c r="AT209" s="125">
        <v>-6</v>
      </c>
      <c r="AU209" s="125">
        <v>-6</v>
      </c>
      <c r="AV209" s="125">
        <v>-9</v>
      </c>
      <c r="AW209" s="125">
        <v>-9</v>
      </c>
      <c r="AX209" s="125">
        <v>-9</v>
      </c>
      <c r="AZ209" s="128"/>
      <c r="BA209" s="309"/>
      <c r="BB209" s="205"/>
      <c r="BC209" s="128"/>
      <c r="BD209" s="309"/>
      <c r="BE209" s="205"/>
      <c r="BH209" s="306"/>
      <c r="BI209" s="306"/>
      <c r="BJ209" s="306"/>
      <c r="BK209" s="306"/>
    </row>
    <row r="210" spans="2:64" s="6" customFormat="1" x14ac:dyDescent="0.2">
      <c r="B210" s="13"/>
      <c r="C210" s="13" t="s">
        <v>112</v>
      </c>
      <c r="D210" s="17"/>
      <c r="E210" s="17"/>
      <c r="F210" s="17"/>
      <c r="G210" s="17"/>
      <c r="H210" s="17"/>
      <c r="I210" s="17"/>
      <c r="J210" s="17">
        <v>-4086.2139999999999</v>
      </c>
      <c r="K210" s="17"/>
      <c r="L210" s="17">
        <v>-6388.3159999999998</v>
      </c>
      <c r="M210" s="17"/>
      <c r="N210" s="17">
        <v>-11080</v>
      </c>
      <c r="O210" s="17"/>
      <c r="P210" s="17">
        <f t="shared" ref="P210:AX210" si="152">SUM(P202,P207)</f>
        <v>-9929</v>
      </c>
      <c r="Q210" s="17">
        <f t="shared" si="152"/>
        <v>-8852</v>
      </c>
      <c r="R210" s="17">
        <f t="shared" si="152"/>
        <v>-7727</v>
      </c>
      <c r="S210" s="17">
        <f t="shared" si="152"/>
        <v>-7860</v>
      </c>
      <c r="T210" s="17">
        <f t="shared" si="152"/>
        <v>-9025</v>
      </c>
      <c r="U210" s="17">
        <f t="shared" si="152"/>
        <v>-3443</v>
      </c>
      <c r="V210" s="17">
        <f t="shared" si="152"/>
        <v>-16161</v>
      </c>
      <c r="W210" s="17">
        <f t="shared" si="152"/>
        <v>-16513</v>
      </c>
      <c r="X210" s="17">
        <f t="shared" si="152"/>
        <v>-16946</v>
      </c>
      <c r="Y210" s="17">
        <f t="shared" si="152"/>
        <v>-6252</v>
      </c>
      <c r="Z210" s="17">
        <f t="shared" si="152"/>
        <v>-19278</v>
      </c>
      <c r="AA210" s="17">
        <f t="shared" si="152"/>
        <v>-20933</v>
      </c>
      <c r="AB210" s="17">
        <f t="shared" si="152"/>
        <v>-22909</v>
      </c>
      <c r="AC210" s="17">
        <f t="shared" si="152"/>
        <v>-25877</v>
      </c>
      <c r="AD210" s="17">
        <f t="shared" si="152"/>
        <v>-29549</v>
      </c>
      <c r="AE210" s="17">
        <f t="shared" si="152"/>
        <v>-31358</v>
      </c>
      <c r="AF210" s="17">
        <f t="shared" si="152"/>
        <v>-32278</v>
      </c>
      <c r="AG210" s="17">
        <f t="shared" si="152"/>
        <v>-32914</v>
      </c>
      <c r="AH210" s="17">
        <f t="shared" si="152"/>
        <v>-38293</v>
      </c>
      <c r="AI210" s="17">
        <f t="shared" si="152"/>
        <v>-43163</v>
      </c>
      <c r="AJ210" s="17">
        <f t="shared" si="152"/>
        <v>-55160</v>
      </c>
      <c r="AK210" s="17">
        <f t="shared" si="152"/>
        <v>-70421</v>
      </c>
      <c r="AL210" s="17">
        <f t="shared" si="152"/>
        <v>-70030</v>
      </c>
      <c r="AM210" s="17">
        <f t="shared" si="152"/>
        <v>-77642</v>
      </c>
      <c r="AN210" s="17">
        <f t="shared" si="152"/>
        <v>-80503</v>
      </c>
      <c r="AO210" s="17">
        <f t="shared" si="152"/>
        <v>-86144</v>
      </c>
      <c r="AP210" s="17">
        <f t="shared" si="152"/>
        <v>-87994</v>
      </c>
      <c r="AQ210" s="17">
        <f t="shared" si="152"/>
        <v>-87164</v>
      </c>
      <c r="AR210" s="17">
        <f t="shared" si="152"/>
        <v>-88217</v>
      </c>
      <c r="AS210" s="17">
        <f t="shared" si="152"/>
        <v>-96284</v>
      </c>
      <c r="AT210" s="17">
        <f t="shared" si="152"/>
        <v>-106990</v>
      </c>
      <c r="AU210" s="17">
        <f t="shared" si="152"/>
        <v>-117341</v>
      </c>
      <c r="AV210" s="17">
        <f t="shared" si="152"/>
        <v>-118139</v>
      </c>
      <c r="AW210" s="17">
        <f t="shared" si="152"/>
        <v>-123677</v>
      </c>
      <c r="AX210" s="17">
        <f t="shared" si="152"/>
        <v>-136802</v>
      </c>
      <c r="AY210" s="134"/>
      <c r="BB210" s="129"/>
      <c r="BE210" s="129"/>
      <c r="BH210" s="13"/>
      <c r="BI210" s="13"/>
      <c r="BJ210" s="13"/>
      <c r="BK210" s="13"/>
    </row>
    <row r="211" spans="2:64" x14ac:dyDescent="0.2">
      <c r="C211" s="9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8"/>
      <c r="P211" s="7"/>
      <c r="Q211" s="8"/>
      <c r="R211" s="8"/>
      <c r="T211" s="7"/>
      <c r="U211" s="7"/>
      <c r="V211" s="7"/>
      <c r="W211" s="7"/>
      <c r="X211" s="7"/>
      <c r="Y211" s="7"/>
      <c r="Z211" s="7"/>
      <c r="AA211" s="8"/>
      <c r="AB211" s="7"/>
      <c r="AC211" s="7"/>
      <c r="AD211" s="7"/>
      <c r="AE211" s="8"/>
      <c r="AF211" s="7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130"/>
      <c r="BH211" s="9"/>
      <c r="BI211" s="9"/>
      <c r="BJ211" s="9"/>
      <c r="BK211" s="9"/>
    </row>
    <row r="212" spans="2:64" x14ac:dyDescent="0.2">
      <c r="C212" s="13" t="s">
        <v>113</v>
      </c>
      <c r="D212" s="17"/>
      <c r="E212" s="17"/>
      <c r="F212" s="17"/>
      <c r="G212" s="23"/>
      <c r="H212" s="17"/>
      <c r="I212" s="23"/>
      <c r="J212" s="17">
        <f>J188+J202</f>
        <v>41923.873</v>
      </c>
      <c r="K212" s="23"/>
      <c r="L212" s="17">
        <f>L188+L202</f>
        <v>55232.111000000012</v>
      </c>
      <c r="M212" s="23"/>
      <c r="N212" s="17">
        <f>N188+N202</f>
        <v>86392</v>
      </c>
      <c r="O212" s="17"/>
      <c r="P212" s="17">
        <f t="shared" ref="P212:AX212" si="153">P188+P202</f>
        <v>58882</v>
      </c>
      <c r="Q212" s="17">
        <f t="shared" si="153"/>
        <v>57587</v>
      </c>
      <c r="R212" s="17">
        <f t="shared" si="153"/>
        <v>80301</v>
      </c>
      <c r="S212" s="17">
        <f t="shared" si="153"/>
        <v>107665</v>
      </c>
      <c r="T212" s="17">
        <f t="shared" si="153"/>
        <v>136652</v>
      </c>
      <c r="U212" s="17">
        <f t="shared" si="153"/>
        <v>150189</v>
      </c>
      <c r="V212" s="17">
        <f t="shared" si="153"/>
        <v>162690</v>
      </c>
      <c r="W212" s="17">
        <f t="shared" si="153"/>
        <v>174511</v>
      </c>
      <c r="X212" s="17">
        <f t="shared" si="153"/>
        <v>190048</v>
      </c>
      <c r="Y212" s="17">
        <f t="shared" si="153"/>
        <v>214887</v>
      </c>
      <c r="Z212" s="17">
        <f t="shared" si="153"/>
        <v>223062</v>
      </c>
      <c r="AA212" s="17">
        <f t="shared" si="153"/>
        <v>242430</v>
      </c>
      <c r="AB212" s="17">
        <f t="shared" si="153"/>
        <v>259886</v>
      </c>
      <c r="AC212" s="17">
        <f t="shared" si="153"/>
        <v>269391</v>
      </c>
      <c r="AD212" s="17">
        <f t="shared" si="153"/>
        <v>265573</v>
      </c>
      <c r="AE212" s="17">
        <f t="shared" si="153"/>
        <v>286249</v>
      </c>
      <c r="AF212" s="17">
        <f t="shared" si="153"/>
        <v>297960</v>
      </c>
      <c r="AG212" s="17">
        <f t="shared" si="153"/>
        <v>316219</v>
      </c>
      <c r="AH212" s="17">
        <f t="shared" si="153"/>
        <v>429412</v>
      </c>
      <c r="AI212" s="17">
        <f t="shared" si="153"/>
        <v>463991</v>
      </c>
      <c r="AJ212" s="17">
        <f t="shared" si="153"/>
        <v>507125</v>
      </c>
      <c r="AK212" s="17">
        <f t="shared" si="153"/>
        <v>515497</v>
      </c>
      <c r="AL212" s="17">
        <f t="shared" si="153"/>
        <v>530742</v>
      </c>
      <c r="AM212" s="17">
        <f t="shared" si="153"/>
        <v>564241</v>
      </c>
      <c r="AN212" s="17">
        <f t="shared" si="153"/>
        <v>583877</v>
      </c>
      <c r="AO212" s="17">
        <f t="shared" si="153"/>
        <v>610924</v>
      </c>
      <c r="AP212" s="17">
        <f t="shared" si="153"/>
        <v>673567</v>
      </c>
      <c r="AQ212" s="17">
        <f t="shared" si="153"/>
        <v>734553</v>
      </c>
      <c r="AR212" s="17">
        <f t="shared" si="153"/>
        <v>795963</v>
      </c>
      <c r="AS212" s="17">
        <f t="shared" si="153"/>
        <v>1052149</v>
      </c>
      <c r="AT212" s="17">
        <f t="shared" si="153"/>
        <v>1120785</v>
      </c>
      <c r="AU212" s="17">
        <f t="shared" si="153"/>
        <v>1211499</v>
      </c>
      <c r="AV212" s="17">
        <f t="shared" si="153"/>
        <v>1278833</v>
      </c>
      <c r="AW212" s="17">
        <f t="shared" si="153"/>
        <v>1297584</v>
      </c>
      <c r="AX212" s="17">
        <f t="shared" si="153"/>
        <v>1303006</v>
      </c>
      <c r="AY212" s="243"/>
      <c r="AZ212" s="32"/>
      <c r="BA212" s="76"/>
      <c r="BH212" s="9"/>
      <c r="BI212" s="9"/>
      <c r="BJ212" s="9"/>
      <c r="BK212" s="9"/>
    </row>
    <row r="213" spans="2:64" x14ac:dyDescent="0.2">
      <c r="C213" s="117" t="s">
        <v>242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75"/>
      <c r="P213" s="75">
        <f t="shared" ref="P213:AX213" si="154">SUM(P183,P203)</f>
        <v>0</v>
      </c>
      <c r="Q213" s="75">
        <f t="shared" si="154"/>
        <v>0</v>
      </c>
      <c r="R213" s="75">
        <f t="shared" si="154"/>
        <v>21475</v>
      </c>
      <c r="S213" s="75">
        <f t="shared" si="154"/>
        <v>33811</v>
      </c>
      <c r="T213" s="75">
        <f t="shared" si="154"/>
        <v>55694</v>
      </c>
      <c r="U213" s="75">
        <f t="shared" si="154"/>
        <v>60458</v>
      </c>
      <c r="V213" s="75">
        <f t="shared" si="154"/>
        <v>62673</v>
      </c>
      <c r="W213" s="75">
        <f t="shared" si="154"/>
        <v>67302</v>
      </c>
      <c r="X213" s="75">
        <f t="shared" si="154"/>
        <v>72025</v>
      </c>
      <c r="Y213" s="75">
        <f t="shared" si="154"/>
        <v>79847</v>
      </c>
      <c r="Z213" s="75">
        <f t="shared" si="154"/>
        <v>85690</v>
      </c>
      <c r="AA213" s="75">
        <f t="shared" si="154"/>
        <v>94179</v>
      </c>
      <c r="AB213" s="75">
        <f t="shared" si="154"/>
        <v>98471</v>
      </c>
      <c r="AC213" s="75">
        <f t="shared" si="154"/>
        <v>101252</v>
      </c>
      <c r="AD213" s="75">
        <f t="shared" si="154"/>
        <v>99333</v>
      </c>
      <c r="AE213" s="75">
        <f t="shared" si="154"/>
        <v>105070</v>
      </c>
      <c r="AF213" s="75">
        <f t="shared" si="154"/>
        <v>104051</v>
      </c>
      <c r="AG213" s="75">
        <f t="shared" si="154"/>
        <v>107804</v>
      </c>
      <c r="AH213" s="75">
        <f t="shared" si="154"/>
        <v>117667</v>
      </c>
      <c r="AI213" s="75">
        <f t="shared" si="154"/>
        <v>127582</v>
      </c>
      <c r="AJ213" s="75">
        <f t="shared" si="154"/>
        <v>137562</v>
      </c>
      <c r="AK213" s="75">
        <f t="shared" si="154"/>
        <v>140692</v>
      </c>
      <c r="AL213" s="75">
        <f t="shared" si="154"/>
        <v>145777</v>
      </c>
      <c r="AM213" s="75">
        <f t="shared" si="154"/>
        <v>155596</v>
      </c>
      <c r="AN213" s="75">
        <f t="shared" si="154"/>
        <v>162080</v>
      </c>
      <c r="AO213" s="75">
        <f t="shared" si="154"/>
        <v>171145</v>
      </c>
      <c r="AP213" s="75">
        <f t="shared" si="154"/>
        <v>204398</v>
      </c>
      <c r="AQ213" s="75">
        <f t="shared" si="154"/>
        <v>236938</v>
      </c>
      <c r="AR213" s="75">
        <f t="shared" si="154"/>
        <v>267435</v>
      </c>
      <c r="AS213" s="75">
        <f t="shared" si="154"/>
        <v>299085</v>
      </c>
      <c r="AT213" s="75">
        <f t="shared" si="154"/>
        <v>345014</v>
      </c>
      <c r="AU213" s="75">
        <f t="shared" si="154"/>
        <v>427877</v>
      </c>
      <c r="AV213" s="75">
        <f t="shared" si="154"/>
        <v>465240</v>
      </c>
      <c r="AW213" s="75">
        <f t="shared" si="154"/>
        <v>482726</v>
      </c>
      <c r="AX213" s="75">
        <f t="shared" si="154"/>
        <v>496528</v>
      </c>
      <c r="AY213" s="353"/>
      <c r="AZ213" s="32" t="s">
        <v>246</v>
      </c>
      <c r="BA213" s="267">
        <f>AX213/AX$212</f>
        <v>0.38106347937001056</v>
      </c>
      <c r="BB213" s="126"/>
      <c r="BH213" s="9"/>
      <c r="BI213" s="9"/>
      <c r="BJ213" s="9"/>
      <c r="BK213" s="9"/>
    </row>
    <row r="214" spans="2:64" x14ac:dyDescent="0.2">
      <c r="C214" s="117" t="s">
        <v>42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75"/>
      <c r="P214" s="75">
        <f t="shared" ref="P214:AX214" si="155">SUM(P184,P204)</f>
        <v>1943</v>
      </c>
      <c r="Q214" s="75">
        <f t="shared" si="155"/>
        <v>2426</v>
      </c>
      <c r="R214" s="75">
        <f t="shared" si="155"/>
        <v>3171</v>
      </c>
      <c r="S214" s="75">
        <f t="shared" si="155"/>
        <v>20928</v>
      </c>
      <c r="T214" s="75">
        <f t="shared" si="155"/>
        <v>29528</v>
      </c>
      <c r="U214" s="75">
        <f t="shared" si="155"/>
        <v>33353</v>
      </c>
      <c r="V214" s="75">
        <f t="shared" si="155"/>
        <v>50134</v>
      </c>
      <c r="W214" s="75">
        <f t="shared" si="155"/>
        <v>53858</v>
      </c>
      <c r="X214" s="75">
        <f t="shared" si="155"/>
        <v>55855</v>
      </c>
      <c r="Y214" s="75">
        <f t="shared" si="155"/>
        <v>59770</v>
      </c>
      <c r="Z214" s="75">
        <f t="shared" si="155"/>
        <v>60108</v>
      </c>
      <c r="AA214" s="75">
        <f t="shared" si="155"/>
        <v>62124</v>
      </c>
      <c r="AB214" s="75">
        <f t="shared" si="155"/>
        <v>65531</v>
      </c>
      <c r="AC214" s="75">
        <f t="shared" si="155"/>
        <v>67326</v>
      </c>
      <c r="AD214" s="75">
        <f t="shared" si="155"/>
        <v>67236</v>
      </c>
      <c r="AE214" s="75">
        <f t="shared" si="155"/>
        <v>70888</v>
      </c>
      <c r="AF214" s="75">
        <f t="shared" si="155"/>
        <v>78993</v>
      </c>
      <c r="AG214" s="75">
        <f t="shared" si="155"/>
        <v>86952</v>
      </c>
      <c r="AH214" s="75">
        <f t="shared" si="155"/>
        <v>117420</v>
      </c>
      <c r="AI214" s="75">
        <f t="shared" si="155"/>
        <v>132049</v>
      </c>
      <c r="AJ214" s="75">
        <f t="shared" si="155"/>
        <v>152804</v>
      </c>
      <c r="AK214" s="75">
        <f t="shared" si="155"/>
        <v>155696</v>
      </c>
      <c r="AL214" s="75">
        <f t="shared" si="155"/>
        <v>158077</v>
      </c>
      <c r="AM214" s="75">
        <f t="shared" si="155"/>
        <v>170615</v>
      </c>
      <c r="AN214" s="75">
        <f t="shared" si="155"/>
        <v>180751</v>
      </c>
      <c r="AO214" s="75">
        <f t="shared" si="155"/>
        <v>187937</v>
      </c>
      <c r="AP214" s="75">
        <f t="shared" si="155"/>
        <v>204461</v>
      </c>
      <c r="AQ214" s="75">
        <f t="shared" si="155"/>
        <v>225297</v>
      </c>
      <c r="AR214" s="75">
        <f t="shared" si="155"/>
        <v>246891</v>
      </c>
      <c r="AS214" s="75">
        <f t="shared" si="155"/>
        <v>273672</v>
      </c>
      <c r="AT214" s="75">
        <f t="shared" si="155"/>
        <v>297288</v>
      </c>
      <c r="AU214" s="75">
        <f t="shared" si="155"/>
        <v>318492</v>
      </c>
      <c r="AV214" s="75">
        <f t="shared" si="155"/>
        <v>340252</v>
      </c>
      <c r="AW214" s="75">
        <f t="shared" si="155"/>
        <v>345598</v>
      </c>
      <c r="AX214" s="75">
        <f t="shared" si="155"/>
        <v>354319</v>
      </c>
      <c r="AY214" s="243"/>
      <c r="AZ214" s="32" t="s">
        <v>246</v>
      </c>
      <c r="BA214" s="267">
        <f t="shared" ref="BA214:BA216" si="156">AX214/AX$212</f>
        <v>0.27192430426260511</v>
      </c>
      <c r="BB214" s="126"/>
      <c r="BH214" s="9"/>
      <c r="BI214" s="9"/>
      <c r="BJ214" s="9"/>
      <c r="BK214" s="9"/>
    </row>
    <row r="215" spans="2:64" x14ac:dyDescent="0.2">
      <c r="C215" s="117" t="s">
        <v>240</v>
      </c>
      <c r="D215" s="75"/>
      <c r="E215" s="23"/>
      <c r="F215" s="75"/>
      <c r="G215" s="23"/>
      <c r="H215" s="75"/>
      <c r="I215" s="23"/>
      <c r="J215" s="75"/>
      <c r="K215" s="23"/>
      <c r="L215" s="75"/>
      <c r="M215" s="23"/>
      <c r="N215" s="75"/>
      <c r="O215" s="75"/>
      <c r="P215" s="75">
        <f t="shared" ref="P215:AX215" si="157">SUM(P185,P205)</f>
        <v>50663</v>
      </c>
      <c r="Q215" s="75">
        <f t="shared" si="157"/>
        <v>48575</v>
      </c>
      <c r="R215" s="75">
        <f t="shared" si="157"/>
        <v>49765</v>
      </c>
      <c r="S215" s="75">
        <f t="shared" si="157"/>
        <v>46907</v>
      </c>
      <c r="T215" s="75">
        <f t="shared" si="157"/>
        <v>43289</v>
      </c>
      <c r="U215" s="75">
        <f t="shared" si="157"/>
        <v>47031</v>
      </c>
      <c r="V215" s="75">
        <f t="shared" si="157"/>
        <v>40865</v>
      </c>
      <c r="W215" s="75">
        <f t="shared" si="157"/>
        <v>42110</v>
      </c>
      <c r="X215" s="75">
        <f t="shared" si="157"/>
        <v>43124</v>
      </c>
      <c r="Y215" s="75">
        <f t="shared" si="157"/>
        <v>48669</v>
      </c>
      <c r="Z215" s="75">
        <f t="shared" si="157"/>
        <v>46201</v>
      </c>
      <c r="AA215" s="75">
        <f t="shared" si="157"/>
        <v>49885</v>
      </c>
      <c r="AB215" s="75">
        <f t="shared" si="157"/>
        <v>55311</v>
      </c>
      <c r="AC215" s="75">
        <f t="shared" si="157"/>
        <v>58516</v>
      </c>
      <c r="AD215" s="75">
        <f t="shared" si="157"/>
        <v>56110</v>
      </c>
      <c r="AE215" s="75">
        <f t="shared" si="157"/>
        <v>57902</v>
      </c>
      <c r="AF215" s="75">
        <f t="shared" si="157"/>
        <v>60215</v>
      </c>
      <c r="AG215" s="75">
        <f t="shared" si="157"/>
        <v>63467</v>
      </c>
      <c r="AH215" s="75">
        <f t="shared" si="157"/>
        <v>79554</v>
      </c>
      <c r="AI215" s="75">
        <f t="shared" si="157"/>
        <v>88048</v>
      </c>
      <c r="AJ215" s="75">
        <f t="shared" si="157"/>
        <v>119590</v>
      </c>
      <c r="AK215" s="75">
        <f t="shared" si="157"/>
        <v>119510</v>
      </c>
      <c r="AL215" s="75">
        <f t="shared" si="157"/>
        <v>120235</v>
      </c>
      <c r="AM215" s="75">
        <f t="shared" si="157"/>
        <v>125111</v>
      </c>
      <c r="AN215" s="75">
        <f t="shared" si="157"/>
        <v>128643</v>
      </c>
      <c r="AO215" s="75">
        <f t="shared" si="157"/>
        <v>128945</v>
      </c>
      <c r="AP215" s="75">
        <f t="shared" si="157"/>
        <v>149457</v>
      </c>
      <c r="AQ215" s="75">
        <f t="shared" si="157"/>
        <v>153860</v>
      </c>
      <c r="AR215" s="75">
        <f t="shared" si="157"/>
        <v>157235</v>
      </c>
      <c r="AS215" s="75">
        <f t="shared" si="157"/>
        <v>336482</v>
      </c>
      <c r="AT215" s="75">
        <f t="shared" si="157"/>
        <v>334957</v>
      </c>
      <c r="AU215" s="75">
        <f t="shared" si="157"/>
        <v>316743</v>
      </c>
      <c r="AV215" s="75">
        <f t="shared" si="157"/>
        <v>316554</v>
      </c>
      <c r="AW215" s="75">
        <f t="shared" si="157"/>
        <v>308284</v>
      </c>
      <c r="AX215" s="75">
        <f t="shared" si="157"/>
        <v>289164</v>
      </c>
      <c r="AY215" s="243"/>
      <c r="AZ215" s="32" t="s">
        <v>246</v>
      </c>
      <c r="BA215" s="267">
        <f t="shared" si="156"/>
        <v>0.22192069721858534</v>
      </c>
      <c r="BH215" s="9"/>
      <c r="BI215" s="9"/>
      <c r="BJ215" s="9"/>
      <c r="BK215" s="9"/>
    </row>
    <row r="216" spans="2:64" x14ac:dyDescent="0.2">
      <c r="C216" s="117" t="s">
        <v>241</v>
      </c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75"/>
      <c r="P216" s="75">
        <f t="shared" ref="P216:AX216" si="158">SUM(P186,P206)</f>
        <v>6276</v>
      </c>
      <c r="Q216" s="75">
        <f t="shared" si="158"/>
        <v>6586</v>
      </c>
      <c r="R216" s="75">
        <f t="shared" si="158"/>
        <v>5890</v>
      </c>
      <c r="S216" s="75">
        <f t="shared" si="158"/>
        <v>6019</v>
      </c>
      <c r="T216" s="75">
        <f t="shared" si="158"/>
        <v>8141</v>
      </c>
      <c r="U216" s="75">
        <f t="shared" si="158"/>
        <v>9347</v>
      </c>
      <c r="V216" s="75">
        <f t="shared" si="158"/>
        <v>9018</v>
      </c>
      <c r="W216" s="75">
        <f t="shared" si="158"/>
        <v>11241</v>
      </c>
      <c r="X216" s="75">
        <f t="shared" si="158"/>
        <v>19044</v>
      </c>
      <c r="Y216" s="75">
        <f t="shared" si="158"/>
        <v>26601</v>
      </c>
      <c r="Z216" s="75">
        <f t="shared" si="158"/>
        <v>31063</v>
      </c>
      <c r="AA216" s="75">
        <f t="shared" si="158"/>
        <v>36242</v>
      </c>
      <c r="AB216" s="75">
        <f t="shared" si="158"/>
        <v>40573</v>
      </c>
      <c r="AC216" s="75">
        <f t="shared" si="158"/>
        <v>42297</v>
      </c>
      <c r="AD216" s="75">
        <f t="shared" si="158"/>
        <v>42894</v>
      </c>
      <c r="AE216" s="75">
        <f t="shared" si="158"/>
        <v>52389</v>
      </c>
      <c r="AF216" s="75">
        <f t="shared" si="158"/>
        <v>54701</v>
      </c>
      <c r="AG216" s="75">
        <f t="shared" si="158"/>
        <v>57996</v>
      </c>
      <c r="AH216" s="75">
        <f t="shared" si="158"/>
        <v>114771</v>
      </c>
      <c r="AI216" s="75">
        <f t="shared" si="158"/>
        <v>116312</v>
      </c>
      <c r="AJ216" s="75">
        <f t="shared" si="158"/>
        <v>97169</v>
      </c>
      <c r="AK216" s="75">
        <f t="shared" si="158"/>
        <v>99599</v>
      </c>
      <c r="AL216" s="75">
        <f t="shared" si="158"/>
        <v>106653</v>
      </c>
      <c r="AM216" s="75">
        <f t="shared" si="158"/>
        <v>112919</v>
      </c>
      <c r="AN216" s="75">
        <f t="shared" si="158"/>
        <v>112403</v>
      </c>
      <c r="AO216" s="75">
        <f t="shared" si="158"/>
        <v>122897</v>
      </c>
      <c r="AP216" s="75">
        <f t="shared" si="158"/>
        <v>115251</v>
      </c>
      <c r="AQ216" s="75">
        <f t="shared" si="158"/>
        <v>118458</v>
      </c>
      <c r="AR216" s="75">
        <f t="shared" si="158"/>
        <v>124402</v>
      </c>
      <c r="AS216" s="75">
        <f t="shared" si="158"/>
        <v>142910</v>
      </c>
      <c r="AT216" s="75">
        <f t="shared" si="158"/>
        <v>143526</v>
      </c>
      <c r="AU216" s="75">
        <f t="shared" si="158"/>
        <v>148387</v>
      </c>
      <c r="AV216" s="75">
        <f t="shared" si="158"/>
        <v>156787</v>
      </c>
      <c r="AW216" s="75">
        <f t="shared" si="158"/>
        <v>160976</v>
      </c>
      <c r="AX216" s="75">
        <f t="shared" si="158"/>
        <v>162995</v>
      </c>
      <c r="AY216" s="243"/>
      <c r="AZ216" s="32" t="s">
        <v>246</v>
      </c>
      <c r="BA216" s="267">
        <f t="shared" si="156"/>
        <v>0.12509151914879901</v>
      </c>
      <c r="BH216" s="9"/>
      <c r="BI216" s="9"/>
      <c r="BJ216" s="9"/>
      <c r="BK216" s="9"/>
    </row>
    <row r="217" spans="2:64" x14ac:dyDescent="0.2">
      <c r="C217" s="9" t="s">
        <v>150</v>
      </c>
      <c r="D217" s="31"/>
      <c r="E217" s="31"/>
      <c r="F217" s="31"/>
      <c r="G217" s="31"/>
      <c r="H217" s="31"/>
      <c r="I217" s="31"/>
      <c r="J217" s="31">
        <f>J198+J207</f>
        <v>6490.4190000000008</v>
      </c>
      <c r="K217" s="31"/>
      <c r="L217" s="31">
        <f>L198+L207</f>
        <v>5233.4039999999995</v>
      </c>
      <c r="M217" s="31"/>
      <c r="N217" s="31">
        <f>N198+N207</f>
        <v>41123.567999999999</v>
      </c>
      <c r="O217" s="31"/>
      <c r="P217" s="31">
        <f t="shared" ref="P217:AX217" si="159">P198+P207</f>
        <v>116327</v>
      </c>
      <c r="Q217" s="31">
        <f t="shared" si="159"/>
        <v>120052</v>
      </c>
      <c r="R217" s="31">
        <f t="shared" si="159"/>
        <v>158119</v>
      </c>
      <c r="S217" s="31">
        <f t="shared" si="159"/>
        <v>128213</v>
      </c>
      <c r="T217" s="31">
        <f t="shared" si="159"/>
        <v>129593</v>
      </c>
      <c r="U217" s="31">
        <f t="shared" si="159"/>
        <v>123895</v>
      </c>
      <c r="V217" s="31">
        <f t="shared" si="159"/>
        <v>198969</v>
      </c>
      <c r="W217" s="31">
        <f t="shared" si="159"/>
        <v>333063</v>
      </c>
      <c r="X217" s="31">
        <f t="shared" si="159"/>
        <v>351430</v>
      </c>
      <c r="Y217" s="31">
        <f t="shared" si="159"/>
        <v>338621</v>
      </c>
      <c r="Z217" s="31">
        <f t="shared" si="159"/>
        <v>312844</v>
      </c>
      <c r="AA217" s="21">
        <f t="shared" si="159"/>
        <v>310482</v>
      </c>
      <c r="AB217" s="21">
        <f t="shared" si="159"/>
        <v>325334</v>
      </c>
      <c r="AC217" s="21">
        <f t="shared" si="159"/>
        <v>383743</v>
      </c>
      <c r="AD217" s="21">
        <f t="shared" si="159"/>
        <v>412447</v>
      </c>
      <c r="AE217" s="21">
        <f t="shared" si="159"/>
        <v>394860</v>
      </c>
      <c r="AF217" s="21">
        <f t="shared" si="159"/>
        <v>413152</v>
      </c>
      <c r="AG217" s="21">
        <f t="shared" si="159"/>
        <v>480497</v>
      </c>
      <c r="AH217" s="21">
        <f t="shared" si="159"/>
        <v>568303</v>
      </c>
      <c r="AI217" s="21">
        <f t="shared" si="159"/>
        <v>629210</v>
      </c>
      <c r="AJ217" s="21">
        <f t="shared" si="159"/>
        <v>689730</v>
      </c>
      <c r="AK217" s="21">
        <f t="shared" si="159"/>
        <v>623764</v>
      </c>
      <c r="AL217" s="21">
        <f t="shared" si="159"/>
        <v>633289</v>
      </c>
      <c r="AM217" s="21">
        <f t="shared" si="159"/>
        <v>729266</v>
      </c>
      <c r="AN217" s="21">
        <f t="shared" si="159"/>
        <v>803047</v>
      </c>
      <c r="AO217" s="21">
        <f t="shared" si="159"/>
        <v>836647</v>
      </c>
      <c r="AP217" s="21">
        <f t="shared" si="159"/>
        <v>853365</v>
      </c>
      <c r="AQ217" s="21">
        <f t="shared" si="159"/>
        <v>987655</v>
      </c>
      <c r="AR217" s="21">
        <f t="shared" si="159"/>
        <v>1098574</v>
      </c>
      <c r="AS217" s="21">
        <f t="shared" si="159"/>
        <v>1183451</v>
      </c>
      <c r="AT217" s="21">
        <f t="shared" si="159"/>
        <v>1247918</v>
      </c>
      <c r="AU217" s="21">
        <f t="shared" si="159"/>
        <v>1263250</v>
      </c>
      <c r="AV217" s="21">
        <f t="shared" si="159"/>
        <v>1385158</v>
      </c>
      <c r="AW217" s="21">
        <f t="shared" si="159"/>
        <v>1322471</v>
      </c>
      <c r="AX217" s="21">
        <f t="shared" si="159"/>
        <v>1405183</v>
      </c>
      <c r="AY217" s="243"/>
      <c r="BH217" s="9"/>
      <c r="BI217" s="9"/>
      <c r="BJ217" s="9"/>
      <c r="BK217" s="9"/>
    </row>
    <row r="218" spans="2:64" x14ac:dyDescent="0.2">
      <c r="C218" s="9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8"/>
      <c r="P218" s="7"/>
      <c r="Q218" s="8"/>
      <c r="R218" s="7"/>
      <c r="T218" s="7"/>
      <c r="U218" s="7"/>
      <c r="V218" s="7"/>
      <c r="W218" s="7"/>
      <c r="X218" s="263"/>
      <c r="Y218" s="7"/>
      <c r="Z218" s="7"/>
      <c r="AA218" s="8"/>
      <c r="AB218" s="263"/>
      <c r="AC218" s="7"/>
      <c r="AD218" s="263"/>
      <c r="AE218" s="8"/>
      <c r="AF218" s="263"/>
      <c r="AG218" s="8"/>
      <c r="AH218" s="263"/>
      <c r="AI218" s="263"/>
      <c r="AJ218" s="263"/>
      <c r="AK218" s="263"/>
      <c r="AL218" s="263"/>
      <c r="AM218" s="263"/>
      <c r="AN218" s="263"/>
      <c r="AO218" s="263"/>
      <c r="AP218" s="263"/>
      <c r="AQ218" s="263"/>
      <c r="AR218" s="263"/>
      <c r="AS218" s="263"/>
      <c r="AT218" s="263"/>
      <c r="AU218" s="263"/>
      <c r="AV218" s="263"/>
      <c r="AW218" s="263"/>
      <c r="AX218" s="263"/>
      <c r="AY218" s="72"/>
      <c r="BH218" s="9"/>
      <c r="BI218" s="9"/>
      <c r="BJ218" s="9"/>
      <c r="BK218" s="9"/>
    </row>
    <row r="219" spans="2:64" x14ac:dyDescent="0.2">
      <c r="C219" s="13" t="s">
        <v>397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8"/>
      <c r="P219" s="7"/>
      <c r="Q219" s="8"/>
      <c r="R219" s="7"/>
      <c r="T219" s="7"/>
      <c r="U219" s="7"/>
      <c r="V219" s="7"/>
      <c r="W219" s="7"/>
      <c r="X219" s="15">
        <f>X212+X195+X196+X197+X208</f>
        <v>382117.315</v>
      </c>
      <c r="Y219" s="7"/>
      <c r="Z219" s="7"/>
      <c r="AA219" s="8"/>
      <c r="AB219" s="15">
        <f t="shared" ref="AB219:AX219" si="160">AB212+AB195+AB196+AB197+AB208</f>
        <v>473025</v>
      </c>
      <c r="AC219" s="15">
        <f t="shared" si="160"/>
        <v>523725</v>
      </c>
      <c r="AD219" s="15">
        <f t="shared" si="160"/>
        <v>560923</v>
      </c>
      <c r="AE219" s="15">
        <f t="shared" si="160"/>
        <v>569306</v>
      </c>
      <c r="AF219" s="15">
        <f t="shared" si="160"/>
        <v>645364</v>
      </c>
      <c r="AG219" s="15">
        <f t="shared" si="160"/>
        <v>752385</v>
      </c>
      <c r="AH219" s="15">
        <f t="shared" si="160"/>
        <v>962083</v>
      </c>
      <c r="AI219" s="15">
        <f t="shared" si="160"/>
        <v>1060028</v>
      </c>
      <c r="AJ219" s="15">
        <f t="shared" si="160"/>
        <v>1169939</v>
      </c>
      <c r="AK219" s="15">
        <f t="shared" si="160"/>
        <v>1114363</v>
      </c>
      <c r="AL219" s="15">
        <f t="shared" si="160"/>
        <v>1151763</v>
      </c>
      <c r="AM219" s="15">
        <f t="shared" si="160"/>
        <v>1281877</v>
      </c>
      <c r="AN219" s="15">
        <f t="shared" si="160"/>
        <v>1377424</v>
      </c>
      <c r="AO219" s="15">
        <f t="shared" si="160"/>
        <v>1438477</v>
      </c>
      <c r="AP219" s="15">
        <f t="shared" si="160"/>
        <v>1524033</v>
      </c>
      <c r="AQ219" s="15">
        <f t="shared" si="160"/>
        <v>1705715</v>
      </c>
      <c r="AR219" s="15">
        <f t="shared" si="160"/>
        <v>1892583</v>
      </c>
      <c r="AS219" s="15">
        <f t="shared" si="160"/>
        <v>2233608</v>
      </c>
      <c r="AT219" s="15">
        <f t="shared" si="160"/>
        <v>2366765</v>
      </c>
      <c r="AU219" s="15">
        <f t="shared" si="160"/>
        <v>2472775</v>
      </c>
      <c r="AV219" s="15">
        <f t="shared" si="160"/>
        <v>2662946</v>
      </c>
      <c r="AW219" s="15">
        <f t="shared" si="160"/>
        <v>2618989</v>
      </c>
      <c r="AX219" s="15">
        <f t="shared" si="160"/>
        <v>2707156</v>
      </c>
      <c r="AY219" s="145"/>
      <c r="BH219" s="9"/>
      <c r="BI219" s="9"/>
      <c r="BJ219" s="9"/>
      <c r="BK219" s="9"/>
    </row>
    <row r="220" spans="2:64" s="6" customFormat="1" x14ac:dyDescent="0.2">
      <c r="B220" s="13"/>
      <c r="C220" s="13" t="s">
        <v>398</v>
      </c>
      <c r="D220" s="25"/>
      <c r="E220" s="25"/>
      <c r="F220" s="25"/>
      <c r="G220" s="25"/>
      <c r="H220" s="25"/>
      <c r="I220" s="25"/>
      <c r="J220" s="25">
        <f>J199+J210</f>
        <v>48414.292000000001</v>
      </c>
      <c r="K220" s="25"/>
      <c r="L220" s="25">
        <f>L199+L210</f>
        <v>60465.515000000007</v>
      </c>
      <c r="M220" s="25"/>
      <c r="N220" s="25">
        <f>N199+N210</f>
        <v>116764</v>
      </c>
      <c r="O220" s="25"/>
      <c r="P220" s="25">
        <f t="shared" ref="P220:AX220" si="161">P199+P210</f>
        <v>175209</v>
      </c>
      <c r="Q220" s="25">
        <f t="shared" si="161"/>
        <v>177639</v>
      </c>
      <c r="R220" s="25">
        <f t="shared" si="161"/>
        <v>238420</v>
      </c>
      <c r="S220" s="25">
        <f t="shared" si="161"/>
        <v>235878</v>
      </c>
      <c r="T220" s="25">
        <f t="shared" si="161"/>
        <v>266245</v>
      </c>
      <c r="U220" s="25">
        <f t="shared" si="161"/>
        <v>274084</v>
      </c>
      <c r="V220" s="25">
        <f t="shared" si="161"/>
        <v>361659</v>
      </c>
      <c r="W220" s="25">
        <f t="shared" si="161"/>
        <v>507574</v>
      </c>
      <c r="X220" s="25">
        <f t="shared" si="161"/>
        <v>541478</v>
      </c>
      <c r="Y220" s="25">
        <f t="shared" si="161"/>
        <v>553508</v>
      </c>
      <c r="Z220" s="25">
        <f t="shared" si="161"/>
        <v>535906</v>
      </c>
      <c r="AA220" s="15">
        <f t="shared" si="161"/>
        <v>552912</v>
      </c>
      <c r="AB220" s="15">
        <f t="shared" si="161"/>
        <v>585220</v>
      </c>
      <c r="AC220" s="15">
        <f t="shared" si="161"/>
        <v>653134</v>
      </c>
      <c r="AD220" s="15">
        <f t="shared" si="161"/>
        <v>678020</v>
      </c>
      <c r="AE220" s="15">
        <f t="shared" si="161"/>
        <v>681109</v>
      </c>
      <c r="AF220" s="15">
        <f t="shared" si="161"/>
        <v>711112</v>
      </c>
      <c r="AG220" s="15">
        <f t="shared" si="161"/>
        <v>796716</v>
      </c>
      <c r="AH220" s="15">
        <f t="shared" si="161"/>
        <v>997715</v>
      </c>
      <c r="AI220" s="15">
        <f t="shared" si="161"/>
        <v>1093201</v>
      </c>
      <c r="AJ220" s="15">
        <f t="shared" si="161"/>
        <v>1196855</v>
      </c>
      <c r="AK220" s="15">
        <f t="shared" si="161"/>
        <v>1139261</v>
      </c>
      <c r="AL220" s="15">
        <f t="shared" si="161"/>
        <v>1164031</v>
      </c>
      <c r="AM220" s="15">
        <f t="shared" si="161"/>
        <v>1293507</v>
      </c>
      <c r="AN220" s="15">
        <f t="shared" si="161"/>
        <v>1386924</v>
      </c>
      <c r="AO220" s="15">
        <f t="shared" si="161"/>
        <v>1447571</v>
      </c>
      <c r="AP220" s="15">
        <f t="shared" si="161"/>
        <v>1526932</v>
      </c>
      <c r="AQ220" s="15">
        <f t="shared" si="161"/>
        <v>1722208</v>
      </c>
      <c r="AR220" s="15">
        <f t="shared" si="161"/>
        <v>1894537</v>
      </c>
      <c r="AS220" s="15">
        <f t="shared" si="161"/>
        <v>2235600</v>
      </c>
      <c r="AT220" s="15">
        <f t="shared" si="161"/>
        <v>2368703</v>
      </c>
      <c r="AU220" s="15">
        <f t="shared" si="161"/>
        <v>2474749</v>
      </c>
      <c r="AV220" s="15">
        <f t="shared" si="161"/>
        <v>2663991</v>
      </c>
      <c r="AW220" s="15">
        <f t="shared" si="161"/>
        <v>2620055</v>
      </c>
      <c r="AX220" s="15">
        <f t="shared" si="161"/>
        <v>2708189</v>
      </c>
      <c r="BH220" s="13"/>
      <c r="BI220" s="13"/>
      <c r="BJ220" s="13"/>
      <c r="BK220" s="13"/>
    </row>
    <row r="221" spans="2:64" s="32" customFormat="1" x14ac:dyDescent="0.2">
      <c r="B221" s="44"/>
      <c r="C221" s="321" t="s">
        <v>31</v>
      </c>
      <c r="D221" s="33"/>
      <c r="E221" s="33"/>
      <c r="F221" s="33"/>
      <c r="G221" s="33"/>
      <c r="H221" s="33"/>
      <c r="I221" s="33"/>
      <c r="J221" s="33">
        <f>J220-J23-J24</f>
        <v>0</v>
      </c>
      <c r="K221" s="33"/>
      <c r="L221" s="33">
        <f>L220-L23-L24</f>
        <v>7.2759576141834259E-12</v>
      </c>
      <c r="M221" s="33"/>
      <c r="N221" s="33">
        <f>N220-N23-N24</f>
        <v>0</v>
      </c>
      <c r="O221" s="33"/>
      <c r="P221" s="33">
        <f t="shared" ref="P221:AX221" si="162">P220-P23-P24</f>
        <v>0</v>
      </c>
      <c r="Q221" s="33">
        <f t="shared" si="162"/>
        <v>0</v>
      </c>
      <c r="R221" s="33">
        <f t="shared" si="162"/>
        <v>0</v>
      </c>
      <c r="S221" s="33">
        <f t="shared" si="162"/>
        <v>0</v>
      </c>
      <c r="T221" s="33">
        <f t="shared" si="162"/>
        <v>0</v>
      </c>
      <c r="U221" s="33">
        <f t="shared" si="162"/>
        <v>12933</v>
      </c>
      <c r="V221" s="33">
        <f t="shared" si="162"/>
        <v>0</v>
      </c>
      <c r="W221" s="33">
        <f t="shared" si="162"/>
        <v>0</v>
      </c>
      <c r="X221" s="33">
        <f t="shared" si="162"/>
        <v>0</v>
      </c>
      <c r="Y221" s="33">
        <f t="shared" si="162"/>
        <v>10892</v>
      </c>
      <c r="Z221" s="33">
        <f t="shared" si="162"/>
        <v>0</v>
      </c>
      <c r="AA221" s="139">
        <f t="shared" si="162"/>
        <v>0</v>
      </c>
      <c r="AB221" s="139">
        <f t="shared" si="162"/>
        <v>0</v>
      </c>
      <c r="AC221" s="139">
        <f t="shared" si="162"/>
        <v>0</v>
      </c>
      <c r="AD221" s="139">
        <f t="shared" si="162"/>
        <v>0</v>
      </c>
      <c r="AE221" s="139">
        <f t="shared" si="162"/>
        <v>0</v>
      </c>
      <c r="AF221" s="139">
        <f t="shared" si="162"/>
        <v>0</v>
      </c>
      <c r="AG221" s="139">
        <f t="shared" si="162"/>
        <v>0</v>
      </c>
      <c r="AH221" s="139">
        <f t="shared" si="162"/>
        <v>0</v>
      </c>
      <c r="AI221" s="139">
        <f t="shared" si="162"/>
        <v>0</v>
      </c>
      <c r="AJ221" s="139">
        <f t="shared" si="162"/>
        <v>0</v>
      </c>
      <c r="AK221" s="139">
        <f t="shared" si="162"/>
        <v>0</v>
      </c>
      <c r="AL221" s="139">
        <f t="shared" si="162"/>
        <v>0</v>
      </c>
      <c r="AM221" s="139">
        <f t="shared" si="162"/>
        <v>0</v>
      </c>
      <c r="AN221" s="139">
        <f t="shared" si="162"/>
        <v>0</v>
      </c>
      <c r="AO221" s="139">
        <f t="shared" si="162"/>
        <v>0</v>
      </c>
      <c r="AP221" s="139">
        <f t="shared" si="162"/>
        <v>0</v>
      </c>
      <c r="AQ221" s="139">
        <f t="shared" si="162"/>
        <v>0</v>
      </c>
      <c r="AR221" s="139">
        <f t="shared" si="162"/>
        <v>0</v>
      </c>
      <c r="AS221" s="139">
        <f t="shared" si="162"/>
        <v>0</v>
      </c>
      <c r="AT221" s="139">
        <f t="shared" si="162"/>
        <v>0</v>
      </c>
      <c r="AU221" s="139">
        <f t="shared" si="162"/>
        <v>0</v>
      </c>
      <c r="AV221" s="139">
        <f t="shared" si="162"/>
        <v>0</v>
      </c>
      <c r="AW221" s="139">
        <f t="shared" si="162"/>
        <v>0</v>
      </c>
      <c r="AX221" s="139">
        <f t="shared" si="162"/>
        <v>0</v>
      </c>
      <c r="BH221" s="44"/>
      <c r="BI221" s="44"/>
      <c r="BJ221" s="44"/>
      <c r="BK221" s="44"/>
    </row>
    <row r="222" spans="2:64" x14ac:dyDescent="0.2">
      <c r="C222" s="9"/>
      <c r="O222" s="9"/>
      <c r="Q222" s="9"/>
      <c r="AA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BH222" s="9"/>
      <c r="BI222" s="9"/>
      <c r="BJ222" s="9"/>
      <c r="BK222" s="9"/>
    </row>
    <row r="223" spans="2:64" x14ac:dyDescent="0.2">
      <c r="C223" s="9" t="s">
        <v>114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>
        <f>2056+5206+265+744+140+262+222</f>
        <v>8895</v>
      </c>
      <c r="Q223" s="8"/>
      <c r="R223" s="20">
        <f>SUM(R225:R227)</f>
        <v>5399</v>
      </c>
      <c r="S223" s="20">
        <f>SUM(S225:S227)</f>
        <v>0</v>
      </c>
      <c r="T223" s="20"/>
      <c r="U223" s="20"/>
      <c r="V223" s="20">
        <f t="shared" ref="V223:AX223" si="163">SUM(V225:V227)</f>
        <v>6526</v>
      </c>
      <c r="W223" s="20">
        <f t="shared" si="163"/>
        <v>6388</v>
      </c>
      <c r="X223" s="20">
        <f t="shared" si="163"/>
        <v>5772</v>
      </c>
      <c r="Y223" s="20">
        <f t="shared" si="163"/>
        <v>6361</v>
      </c>
      <c r="Z223" s="20">
        <f t="shared" si="163"/>
        <v>6917</v>
      </c>
      <c r="AA223" s="20">
        <f t="shared" si="163"/>
        <v>8068</v>
      </c>
      <c r="AB223" s="20">
        <f t="shared" si="163"/>
        <v>8891</v>
      </c>
      <c r="AC223" s="20">
        <f t="shared" si="163"/>
        <v>9743</v>
      </c>
      <c r="AD223" s="20">
        <f t="shared" si="163"/>
        <v>11731</v>
      </c>
      <c r="AE223" s="20">
        <f t="shared" si="163"/>
        <v>13523</v>
      </c>
      <c r="AF223" s="20">
        <f t="shared" si="163"/>
        <v>12761</v>
      </c>
      <c r="AG223" s="20">
        <f t="shared" si="163"/>
        <v>12364</v>
      </c>
      <c r="AH223" s="20">
        <f t="shared" si="163"/>
        <v>14741</v>
      </c>
      <c r="AI223" s="20">
        <f t="shared" si="163"/>
        <v>16823</v>
      </c>
      <c r="AJ223" s="20">
        <f t="shared" si="163"/>
        <v>21387</v>
      </c>
      <c r="AK223" s="20">
        <f t="shared" si="163"/>
        <v>22662</v>
      </c>
      <c r="AL223" s="20">
        <f t="shared" si="163"/>
        <v>24086</v>
      </c>
      <c r="AM223" s="20">
        <f t="shared" si="163"/>
        <v>26257</v>
      </c>
      <c r="AN223" s="20">
        <f t="shared" si="163"/>
        <v>26296</v>
      </c>
      <c r="AO223" s="20">
        <f t="shared" si="163"/>
        <v>26646</v>
      </c>
      <c r="AP223" s="20">
        <f t="shared" si="163"/>
        <v>24860</v>
      </c>
      <c r="AQ223" s="20">
        <f t="shared" si="163"/>
        <v>24809</v>
      </c>
      <c r="AR223" s="20">
        <f t="shared" si="163"/>
        <v>25012</v>
      </c>
      <c r="AS223" s="20">
        <f t="shared" si="163"/>
        <v>31364</v>
      </c>
      <c r="AT223" s="20">
        <f t="shared" si="163"/>
        <v>38635</v>
      </c>
      <c r="AU223" s="20">
        <f t="shared" si="163"/>
        <v>47433</v>
      </c>
      <c r="AV223" s="20">
        <f t="shared" si="163"/>
        <v>49091</v>
      </c>
      <c r="AW223" s="20">
        <f t="shared" si="163"/>
        <v>52536</v>
      </c>
      <c r="AX223" s="20">
        <f t="shared" si="163"/>
        <v>58424</v>
      </c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</row>
    <row r="224" spans="2:64" s="6" customFormat="1" x14ac:dyDescent="0.2">
      <c r="B224" s="13"/>
      <c r="C224" s="117" t="s">
        <v>242</v>
      </c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106">
        <f>189+357</f>
        <v>546</v>
      </c>
      <c r="S224" s="107"/>
      <c r="T224" s="106">
        <f>404+403</f>
        <v>807</v>
      </c>
      <c r="U224" s="106"/>
      <c r="V224" s="106">
        <f>704+864</f>
        <v>1568</v>
      </c>
      <c r="W224" s="106">
        <f>643+1047</f>
        <v>1690</v>
      </c>
      <c r="X224" s="106">
        <f>635+1086</f>
        <v>1721</v>
      </c>
      <c r="Y224" s="106">
        <v>1842</v>
      </c>
      <c r="Z224" s="106">
        <f>869+1143</f>
        <v>2012</v>
      </c>
      <c r="AA224" s="106">
        <v>2255</v>
      </c>
      <c r="AB224" s="106">
        <v>2314</v>
      </c>
      <c r="AC224" s="106">
        <v>2439</v>
      </c>
      <c r="AD224" s="106">
        <v>2833</v>
      </c>
      <c r="AE224" s="106">
        <v>3346</v>
      </c>
      <c r="AF224" s="106">
        <v>2863</v>
      </c>
      <c r="AG224" s="106">
        <v>2424</v>
      </c>
      <c r="AH224" s="106">
        <v>1829</v>
      </c>
      <c r="AI224" s="106">
        <v>1630</v>
      </c>
      <c r="AJ224" s="106">
        <v>1692</v>
      </c>
      <c r="AK224" s="106">
        <v>1729</v>
      </c>
      <c r="AL224" s="106">
        <v>2099</v>
      </c>
      <c r="AM224" s="106">
        <v>2600</v>
      </c>
      <c r="AN224" s="106">
        <v>3047</v>
      </c>
      <c r="AO224" s="106">
        <v>3550</v>
      </c>
      <c r="AP224" s="106">
        <v>3835</v>
      </c>
      <c r="AQ224" s="106">
        <v>3865</v>
      </c>
      <c r="AR224" s="106">
        <v>3926</v>
      </c>
      <c r="AS224" s="106">
        <v>4579</v>
      </c>
      <c r="AT224" s="106">
        <v>5946</v>
      </c>
      <c r="AU224" s="106">
        <v>8192</v>
      </c>
      <c r="AV224" s="106">
        <v>10453</v>
      </c>
      <c r="AW224" s="106">
        <v>13609</v>
      </c>
      <c r="AX224" s="106">
        <v>18842</v>
      </c>
      <c r="AZ224" s="32" t="s">
        <v>247</v>
      </c>
      <c r="BA224" s="225">
        <f>AX224/AX183</f>
        <v>3.6737781694672025E-2</v>
      </c>
      <c r="BH224" s="13"/>
      <c r="BI224" s="13"/>
      <c r="BJ224" s="13"/>
      <c r="BK224" s="13"/>
    </row>
    <row r="225" spans="2:64" s="6" customFormat="1" x14ac:dyDescent="0.2">
      <c r="B225" s="13"/>
      <c r="C225" s="117" t="s">
        <v>42</v>
      </c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106">
        <f>38+110+396</f>
        <v>544</v>
      </c>
      <c r="S225" s="107"/>
      <c r="T225" s="106">
        <f>291+282+288</f>
        <v>861</v>
      </c>
      <c r="U225" s="106"/>
      <c r="V225" s="106">
        <f>552+575+636</f>
        <v>1763</v>
      </c>
      <c r="W225" s="106">
        <f>680+753+496</f>
        <v>1929</v>
      </c>
      <c r="X225" s="106">
        <f>646+698+748</f>
        <v>2092</v>
      </c>
      <c r="Y225" s="106">
        <v>2531</v>
      </c>
      <c r="Z225" s="106">
        <f>669+854+1209</f>
        <v>2732</v>
      </c>
      <c r="AA225" s="106">
        <v>2972</v>
      </c>
      <c r="AB225" s="106">
        <v>2904</v>
      </c>
      <c r="AC225" s="106">
        <v>3039</v>
      </c>
      <c r="AD225" s="106">
        <v>3737</v>
      </c>
      <c r="AE225" s="106">
        <v>3750</v>
      </c>
      <c r="AF225" s="106">
        <v>3088</v>
      </c>
      <c r="AG225" s="106">
        <v>2980</v>
      </c>
      <c r="AH225" s="106">
        <v>3878</v>
      </c>
      <c r="AI225" s="106">
        <v>3542</v>
      </c>
      <c r="AJ225" s="106">
        <v>4143</v>
      </c>
      <c r="AK225" s="106">
        <v>4527</v>
      </c>
      <c r="AL225" s="106">
        <v>5432</v>
      </c>
      <c r="AM225" s="106">
        <v>6475</v>
      </c>
      <c r="AN225" s="106">
        <v>6539</v>
      </c>
      <c r="AO225" s="106">
        <v>6940</v>
      </c>
      <c r="AP225" s="106">
        <v>7229</v>
      </c>
      <c r="AQ225" s="106">
        <v>7171</v>
      </c>
      <c r="AR225" s="106">
        <v>6055</v>
      </c>
      <c r="AS225" s="106">
        <v>6968</v>
      </c>
      <c r="AT225" s="106">
        <v>7973</v>
      </c>
      <c r="AU225" s="106">
        <v>8236</v>
      </c>
      <c r="AV225" s="106">
        <v>9125</v>
      </c>
      <c r="AW225" s="106">
        <v>10212</v>
      </c>
      <c r="AX225" s="106">
        <v>12299</v>
      </c>
      <c r="AZ225" s="32" t="s">
        <v>247</v>
      </c>
      <c r="BA225" s="225">
        <f>AX225/AX184</f>
        <v>3.3933143513000488E-2</v>
      </c>
      <c r="BH225" s="13"/>
      <c r="BI225" s="13"/>
      <c r="BJ225" s="13"/>
      <c r="BK225" s="13"/>
    </row>
    <row r="226" spans="2:64" x14ac:dyDescent="0.2">
      <c r="C226" s="117" t="s">
        <v>240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106">
        <f>1339+2908</f>
        <v>4247</v>
      </c>
      <c r="S226" s="108"/>
      <c r="T226" s="106">
        <f>1282+2607</f>
        <v>3889</v>
      </c>
      <c r="U226" s="106"/>
      <c r="V226" s="106">
        <f>1319+2588</f>
        <v>3907</v>
      </c>
      <c r="W226" s="106">
        <v>3711</v>
      </c>
      <c r="X226" s="106">
        <f>1094+2073</f>
        <v>3167</v>
      </c>
      <c r="Y226" s="106">
        <v>3290</v>
      </c>
      <c r="Z226" s="106">
        <f>1349+2074</f>
        <v>3423</v>
      </c>
      <c r="AA226" s="106">
        <v>3786</v>
      </c>
      <c r="AB226" s="106">
        <v>4196</v>
      </c>
      <c r="AC226" s="106">
        <v>4351</v>
      </c>
      <c r="AD226" s="106">
        <v>5090</v>
      </c>
      <c r="AE226" s="106">
        <v>6124</v>
      </c>
      <c r="AF226" s="106">
        <v>5967</v>
      </c>
      <c r="AG226" s="106">
        <v>5807</v>
      </c>
      <c r="AH226" s="106">
        <v>5499</v>
      </c>
      <c r="AI226" s="106">
        <v>6095</v>
      </c>
      <c r="AJ226" s="106">
        <v>11082</v>
      </c>
      <c r="AK226" s="106">
        <v>11870</v>
      </c>
      <c r="AL226" s="106">
        <v>12513</v>
      </c>
      <c r="AM226" s="106">
        <v>13073</v>
      </c>
      <c r="AN226" s="106">
        <v>12628</v>
      </c>
      <c r="AO226" s="106">
        <v>12057</v>
      </c>
      <c r="AP226" s="106">
        <v>10896</v>
      </c>
      <c r="AQ226" s="106">
        <v>11217</v>
      </c>
      <c r="AR226" s="106">
        <v>12203</v>
      </c>
      <c r="AS226" s="106">
        <v>16560</v>
      </c>
      <c r="AT226" s="106">
        <v>21201</v>
      </c>
      <c r="AU226" s="106">
        <v>27707</v>
      </c>
      <c r="AV226" s="106">
        <v>28247</v>
      </c>
      <c r="AW226" s="106">
        <v>30325</v>
      </c>
      <c r="AX226" s="106">
        <v>33708</v>
      </c>
      <c r="AZ226" s="32" t="s">
        <v>247</v>
      </c>
      <c r="BA226" s="225">
        <f>AX226/AX185</f>
        <v>0.100268608500879</v>
      </c>
      <c r="BC226" s="9"/>
      <c r="BD226" s="9"/>
      <c r="BE226" s="9"/>
      <c r="BF226" s="9"/>
      <c r="BG226" s="9"/>
      <c r="BH226" s="9"/>
      <c r="BI226" s="9"/>
      <c r="BJ226" s="9"/>
      <c r="BK226" s="9"/>
      <c r="BL226" s="9"/>
    </row>
    <row r="227" spans="2:64" s="6" customFormat="1" x14ac:dyDescent="0.2">
      <c r="B227" s="13"/>
      <c r="C227" s="117" t="s">
        <v>241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106">
        <f>178+430</f>
        <v>608</v>
      </c>
      <c r="S227" s="107"/>
      <c r="T227" s="106">
        <f>308+317</f>
        <v>625</v>
      </c>
      <c r="U227" s="106"/>
      <c r="V227" s="106">
        <f>274+582</f>
        <v>856</v>
      </c>
      <c r="W227" s="106">
        <v>748</v>
      </c>
      <c r="X227" s="106">
        <f>187+326</f>
        <v>513</v>
      </c>
      <c r="Y227" s="106">
        <v>540</v>
      </c>
      <c r="Z227" s="106">
        <f>419+343</f>
        <v>762</v>
      </c>
      <c r="AA227" s="106">
        <v>1310</v>
      </c>
      <c r="AB227" s="106">
        <v>1791</v>
      </c>
      <c r="AC227" s="106">
        <v>2353</v>
      </c>
      <c r="AD227" s="106">
        <v>2904</v>
      </c>
      <c r="AE227" s="106">
        <v>3649</v>
      </c>
      <c r="AF227" s="106">
        <v>3706</v>
      </c>
      <c r="AG227" s="106">
        <v>3577</v>
      </c>
      <c r="AH227" s="106">
        <v>5364</v>
      </c>
      <c r="AI227" s="106">
        <v>7186</v>
      </c>
      <c r="AJ227" s="106">
        <v>6162</v>
      </c>
      <c r="AK227" s="106">
        <v>6265</v>
      </c>
      <c r="AL227" s="106">
        <v>6141</v>
      </c>
      <c r="AM227" s="106">
        <v>6709</v>
      </c>
      <c r="AN227" s="106">
        <v>7129</v>
      </c>
      <c r="AO227" s="106">
        <v>7649</v>
      </c>
      <c r="AP227" s="106">
        <v>6735</v>
      </c>
      <c r="AQ227" s="106">
        <v>6421</v>
      </c>
      <c r="AR227" s="106">
        <v>6754</v>
      </c>
      <c r="AS227" s="106">
        <v>7836</v>
      </c>
      <c r="AT227" s="106">
        <v>9461</v>
      </c>
      <c r="AU227" s="106">
        <v>11490</v>
      </c>
      <c r="AV227" s="106">
        <v>11719</v>
      </c>
      <c r="AW227" s="106">
        <v>11999</v>
      </c>
      <c r="AX227" s="106">
        <v>12417</v>
      </c>
      <c r="AZ227" s="32" t="s">
        <v>247</v>
      </c>
      <c r="BA227" s="225">
        <f>AX227/AX186</f>
        <v>6.8996749367932653E-2</v>
      </c>
      <c r="BH227" s="13"/>
      <c r="BI227" s="13"/>
      <c r="BJ227" s="13"/>
      <c r="BK227" s="13"/>
    </row>
    <row r="228" spans="2:64" x14ac:dyDescent="0.2">
      <c r="C228" s="9" t="s">
        <v>115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>
        <f>36+232</f>
        <v>268</v>
      </c>
      <c r="Q228" s="8"/>
      <c r="R228" s="8">
        <f>142+112</f>
        <v>254</v>
      </c>
      <c r="S228" s="18"/>
      <c r="T228" s="8">
        <f>167+39</f>
        <v>206</v>
      </c>
      <c r="U228" s="8"/>
      <c r="V228" s="8">
        <f>473+364+397</f>
        <v>1234</v>
      </c>
      <c r="W228" s="8">
        <f>1038+520+444</f>
        <v>2002</v>
      </c>
      <c r="X228" s="8">
        <f>1742+363+414</f>
        <v>2519</v>
      </c>
      <c r="Y228" s="8">
        <f>171+1787+573</f>
        <v>2531</v>
      </c>
      <c r="Z228" s="8">
        <f>185+1809+614</f>
        <v>2608</v>
      </c>
      <c r="AA228" s="8">
        <v>2516</v>
      </c>
      <c r="AB228" s="8">
        <v>3079</v>
      </c>
      <c r="AC228" s="8">
        <v>3135</v>
      </c>
      <c r="AD228" s="8">
        <v>3115</v>
      </c>
      <c r="AE228" s="8">
        <v>2098</v>
      </c>
      <c r="AF228" s="8">
        <v>2175</v>
      </c>
      <c r="AG228" s="8">
        <v>2674</v>
      </c>
      <c r="AH228" s="8">
        <v>3869</v>
      </c>
      <c r="AI228" s="8">
        <v>4124</v>
      </c>
      <c r="AJ228" s="8">
        <v>5503</v>
      </c>
      <c r="AK228" s="8">
        <v>6241</v>
      </c>
      <c r="AL228" s="8">
        <v>15029</v>
      </c>
      <c r="AM228" s="8">
        <v>18898</v>
      </c>
      <c r="AN228" s="8">
        <v>21196</v>
      </c>
      <c r="AO228" s="8">
        <v>24866</v>
      </c>
      <c r="AP228" s="8">
        <v>29495</v>
      </c>
      <c r="AQ228" s="8">
        <v>25617</v>
      </c>
      <c r="AR228" s="8">
        <v>27482</v>
      </c>
      <c r="AS228" s="8">
        <v>24709</v>
      </c>
      <c r="AT228" s="8">
        <v>31269</v>
      </c>
      <c r="AU228" s="8">
        <v>19017</v>
      </c>
      <c r="AV228" s="8">
        <v>19802</v>
      </c>
      <c r="AW228" s="8">
        <v>34329</v>
      </c>
      <c r="AX228" s="8">
        <v>36236</v>
      </c>
      <c r="AY228" s="135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</row>
    <row r="229" spans="2:64" hidden="1" x14ac:dyDescent="0.2">
      <c r="C229" s="117" t="s">
        <v>360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18"/>
      <c r="T229" s="8"/>
      <c r="U229" s="8"/>
      <c r="V229" s="8"/>
      <c r="W229" s="8"/>
      <c r="X229" s="106">
        <v>939.6143081659302</v>
      </c>
      <c r="Y229" s="106">
        <v>822.99437403000002</v>
      </c>
      <c r="Z229" s="106">
        <v>677.05648739999992</v>
      </c>
      <c r="AA229" s="106">
        <v>563.8378346400001</v>
      </c>
      <c r="AB229" s="106">
        <v>821.99649906000002</v>
      </c>
      <c r="AC229" s="106">
        <v>624.56700544</v>
      </c>
      <c r="AD229" s="106">
        <v>593.28672690999997</v>
      </c>
      <c r="AE229" s="106">
        <v>892.37022514000023</v>
      </c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</row>
    <row r="230" spans="2:64" s="6" customFormat="1" x14ac:dyDescent="0.2">
      <c r="B230" s="13"/>
      <c r="C230" s="13" t="s">
        <v>116</v>
      </c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>
        <f>SUM(P223:P228)</f>
        <v>9163</v>
      </c>
      <c r="Q230" s="15"/>
      <c r="R230" s="15">
        <f>R223+R228</f>
        <v>5653</v>
      </c>
      <c r="T230" s="15">
        <f>T223+T228</f>
        <v>206</v>
      </c>
      <c r="U230" s="8"/>
      <c r="V230" s="15">
        <f t="shared" ref="V230:AX230" si="164">V223+V228</f>
        <v>7760</v>
      </c>
      <c r="W230" s="15">
        <f t="shared" si="164"/>
        <v>8390</v>
      </c>
      <c r="X230" s="15">
        <f t="shared" si="164"/>
        <v>8291</v>
      </c>
      <c r="Y230" s="15">
        <f t="shared" si="164"/>
        <v>8892</v>
      </c>
      <c r="Z230" s="15">
        <f t="shared" si="164"/>
        <v>9525</v>
      </c>
      <c r="AA230" s="15">
        <f t="shared" si="164"/>
        <v>10584</v>
      </c>
      <c r="AB230" s="15">
        <f t="shared" si="164"/>
        <v>11970</v>
      </c>
      <c r="AC230" s="15">
        <f t="shared" si="164"/>
        <v>12878</v>
      </c>
      <c r="AD230" s="15">
        <f t="shared" si="164"/>
        <v>14846</v>
      </c>
      <c r="AE230" s="15">
        <f t="shared" si="164"/>
        <v>15621</v>
      </c>
      <c r="AF230" s="15">
        <f t="shared" si="164"/>
        <v>14936</v>
      </c>
      <c r="AG230" s="15">
        <f t="shared" si="164"/>
        <v>15038</v>
      </c>
      <c r="AH230" s="15">
        <f t="shared" si="164"/>
        <v>18610</v>
      </c>
      <c r="AI230" s="15">
        <f t="shared" si="164"/>
        <v>20947</v>
      </c>
      <c r="AJ230" s="15">
        <f t="shared" si="164"/>
        <v>26890</v>
      </c>
      <c r="AK230" s="15">
        <f t="shared" si="164"/>
        <v>28903</v>
      </c>
      <c r="AL230" s="15">
        <f t="shared" si="164"/>
        <v>39115</v>
      </c>
      <c r="AM230" s="15">
        <f t="shared" si="164"/>
        <v>45155</v>
      </c>
      <c r="AN230" s="15">
        <f t="shared" si="164"/>
        <v>47492</v>
      </c>
      <c r="AO230" s="15">
        <f t="shared" si="164"/>
        <v>51512</v>
      </c>
      <c r="AP230" s="15">
        <f t="shared" si="164"/>
        <v>54355</v>
      </c>
      <c r="AQ230" s="15">
        <f t="shared" si="164"/>
        <v>50426</v>
      </c>
      <c r="AR230" s="15">
        <f t="shared" si="164"/>
        <v>52494</v>
      </c>
      <c r="AS230" s="15">
        <f t="shared" si="164"/>
        <v>56073</v>
      </c>
      <c r="AT230" s="15">
        <f t="shared" si="164"/>
        <v>69904</v>
      </c>
      <c r="AU230" s="15">
        <f t="shared" si="164"/>
        <v>66450</v>
      </c>
      <c r="AV230" s="15">
        <f t="shared" si="164"/>
        <v>68893</v>
      </c>
      <c r="AW230" s="15">
        <f t="shared" si="164"/>
        <v>86865</v>
      </c>
      <c r="AX230" s="15">
        <f t="shared" si="164"/>
        <v>94660</v>
      </c>
      <c r="BA230" s="13"/>
      <c r="BB230" s="13"/>
      <c r="BC230" s="326"/>
      <c r="BD230" s="13"/>
      <c r="BE230" s="13"/>
      <c r="BF230" s="13"/>
      <c r="BG230" s="13"/>
      <c r="BH230" s="13"/>
      <c r="BI230" s="13"/>
      <c r="BJ230" s="13"/>
      <c r="BK230" s="13"/>
      <c r="BL230" s="13"/>
    </row>
    <row r="231" spans="2:64" x14ac:dyDescent="0.2"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</row>
    <row r="232" spans="2:64" x14ac:dyDescent="0.2"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</row>
    <row r="233" spans="2:64" s="5" customFormat="1" x14ac:dyDescent="0.2">
      <c r="B233" s="42">
        <v>3</v>
      </c>
      <c r="C233" s="41" t="s">
        <v>117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61"/>
      <c r="BL233" s="61"/>
    </row>
    <row r="234" spans="2:64" x14ac:dyDescent="0.2"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</row>
    <row r="235" spans="2:64" x14ac:dyDescent="0.2">
      <c r="C235" s="4" t="s">
        <v>118</v>
      </c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>
        <v>127143</v>
      </c>
      <c r="Q235" s="8">
        <v>197216</v>
      </c>
      <c r="R235" s="8">
        <v>229574</v>
      </c>
      <c r="T235" s="8">
        <v>281762</v>
      </c>
      <c r="U235" s="8">
        <v>300945</v>
      </c>
      <c r="V235" s="8">
        <v>363743</v>
      </c>
      <c r="W235" s="8">
        <v>354800</v>
      </c>
      <c r="X235" s="8">
        <v>361108</v>
      </c>
      <c r="Y235" s="8">
        <v>352793</v>
      </c>
      <c r="Z235" s="8">
        <v>363475</v>
      </c>
      <c r="AA235" s="8">
        <v>380535</v>
      </c>
      <c r="AB235" s="8">
        <v>399209</v>
      </c>
      <c r="AC235" s="8">
        <v>398826</v>
      </c>
      <c r="AD235" s="8">
        <v>399408</v>
      </c>
      <c r="AE235" s="8">
        <v>393802</v>
      </c>
      <c r="AF235" s="8">
        <v>392154</v>
      </c>
      <c r="AG235" s="8">
        <v>405951</v>
      </c>
      <c r="AH235" s="8">
        <v>476970</v>
      </c>
      <c r="AI235" s="8">
        <v>466968</v>
      </c>
      <c r="AJ235" s="8">
        <v>461707</v>
      </c>
      <c r="AK235" s="8">
        <v>554049</v>
      </c>
      <c r="AL235" s="8">
        <v>553333</v>
      </c>
      <c r="AM235" s="8">
        <v>563883</v>
      </c>
      <c r="AN235" s="8">
        <v>572645</v>
      </c>
      <c r="AO235" s="8">
        <v>589729</v>
      </c>
      <c r="AP235" s="8">
        <v>594022</v>
      </c>
      <c r="AQ235" s="8">
        <v>619702</v>
      </c>
      <c r="AR235" s="8">
        <v>653020</v>
      </c>
      <c r="AS235" s="8">
        <v>804540</v>
      </c>
      <c r="AT235" s="8">
        <v>802794</v>
      </c>
      <c r="AU235" s="8">
        <v>852588</v>
      </c>
      <c r="AV235" s="8">
        <v>943549</v>
      </c>
      <c r="AW235" s="8">
        <v>1024083</v>
      </c>
      <c r="AX235" s="8">
        <v>1024030</v>
      </c>
      <c r="AY235" s="243"/>
      <c r="AZ235" s="44"/>
      <c r="BA235" s="148"/>
      <c r="BB235" s="136"/>
      <c r="BC235" s="9"/>
      <c r="BD235" s="9"/>
      <c r="BE235" s="148"/>
      <c r="BF235" s="136"/>
      <c r="BG235" s="9"/>
      <c r="BH235" s="9"/>
      <c r="BI235" s="9"/>
      <c r="BJ235" s="9"/>
      <c r="BK235" s="9"/>
      <c r="BL235" s="9"/>
    </row>
    <row r="236" spans="2:64" x14ac:dyDescent="0.2">
      <c r="C236" s="4" t="s">
        <v>119</v>
      </c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>
        <v>2683</v>
      </c>
      <c r="Q236" s="8">
        <v>4870</v>
      </c>
      <c r="R236" s="8">
        <v>7045</v>
      </c>
      <c r="T236" s="8">
        <v>20879</v>
      </c>
      <c r="U236" s="8">
        <v>14428</v>
      </c>
      <c r="V236" s="8">
        <v>32770</v>
      </c>
      <c r="W236" s="8">
        <v>34075</v>
      </c>
      <c r="X236" s="8">
        <v>41795</v>
      </c>
      <c r="Y236" s="8">
        <v>38315</v>
      </c>
      <c r="Z236" s="8">
        <v>39864</v>
      </c>
      <c r="AA236" s="8">
        <v>44873</v>
      </c>
      <c r="AB236" s="8">
        <v>52794</v>
      </c>
      <c r="AC236" s="8">
        <v>52125</v>
      </c>
      <c r="AD236" s="8">
        <v>58047</v>
      </c>
      <c r="AE236" s="8">
        <v>65260</v>
      </c>
      <c r="AF236" s="8">
        <v>80502</v>
      </c>
      <c r="AG236" s="8">
        <v>81111</v>
      </c>
      <c r="AH236" s="8">
        <v>132440</v>
      </c>
      <c r="AI236" s="8">
        <v>131990</v>
      </c>
      <c r="AJ236" s="8">
        <v>140295</v>
      </c>
      <c r="AK236" s="8">
        <v>100897</v>
      </c>
      <c r="AL236" s="8">
        <v>117945</v>
      </c>
      <c r="AM236" s="8">
        <v>128527</v>
      </c>
      <c r="AN236" s="8">
        <v>148777</v>
      </c>
      <c r="AO236" s="8">
        <v>159122</v>
      </c>
      <c r="AP236" s="8">
        <v>180074</v>
      </c>
      <c r="AQ236" s="8">
        <v>180335</v>
      </c>
      <c r="AR236" s="8">
        <v>180137</v>
      </c>
      <c r="AS236" s="8">
        <v>200574</v>
      </c>
      <c r="AT236" s="8">
        <v>220405</v>
      </c>
      <c r="AU236" s="8">
        <v>211354</v>
      </c>
      <c r="AV236" s="8">
        <v>244001</v>
      </c>
      <c r="AW236" s="8">
        <v>206582</v>
      </c>
      <c r="AX236" s="8">
        <v>259808</v>
      </c>
      <c r="AY236" s="243"/>
      <c r="AZ236" s="44"/>
      <c r="BA236" s="148"/>
      <c r="BB236" s="136"/>
      <c r="BC236" s="9"/>
      <c r="BD236" s="9"/>
      <c r="BE236" s="148"/>
      <c r="BF236" s="136"/>
      <c r="BG236" s="9"/>
      <c r="BH236" s="9"/>
      <c r="BI236" s="9"/>
      <c r="BJ236" s="9"/>
      <c r="BK236" s="9"/>
      <c r="BL236" s="9"/>
    </row>
    <row r="237" spans="2:64" x14ac:dyDescent="0.2">
      <c r="C237" s="9" t="s">
        <v>122</v>
      </c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T237" s="8"/>
      <c r="U237" s="8"/>
      <c r="V237" s="8">
        <v>2</v>
      </c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9"/>
      <c r="AZ237" s="20"/>
      <c r="BA237" s="20"/>
      <c r="BB237" s="136"/>
      <c r="BC237" s="161"/>
      <c r="BD237" s="20"/>
      <c r="BE237" s="20"/>
      <c r="BF237" s="9"/>
      <c r="BG237" s="9"/>
      <c r="BH237" s="9"/>
      <c r="BI237" s="9"/>
      <c r="BJ237" s="9"/>
      <c r="BK237" s="9"/>
      <c r="BL237" s="9"/>
    </row>
    <row r="238" spans="2:64" x14ac:dyDescent="0.2">
      <c r="C238" s="6" t="s">
        <v>120</v>
      </c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>
        <f>SUM(P235:P236)</f>
        <v>129826</v>
      </c>
      <c r="Q238" s="17">
        <f>SUM(Q235:Q236)</f>
        <v>202086</v>
      </c>
      <c r="R238" s="17">
        <f t="shared" ref="R238:AX238" si="165">SUM(R235:R237)</f>
        <v>236619</v>
      </c>
      <c r="S238" s="17">
        <v>267092</v>
      </c>
      <c r="T238" s="17">
        <f t="shared" si="165"/>
        <v>302641</v>
      </c>
      <c r="U238" s="17">
        <f t="shared" si="165"/>
        <v>315373</v>
      </c>
      <c r="V238" s="17">
        <f t="shared" si="165"/>
        <v>396515</v>
      </c>
      <c r="W238" s="17">
        <f t="shared" si="165"/>
        <v>388875</v>
      </c>
      <c r="X238" s="17">
        <f t="shared" si="165"/>
        <v>402903</v>
      </c>
      <c r="Y238" s="17">
        <f t="shared" si="165"/>
        <v>391108</v>
      </c>
      <c r="Z238" s="17">
        <f t="shared" si="165"/>
        <v>403339</v>
      </c>
      <c r="AA238" s="17">
        <f t="shared" si="165"/>
        <v>425408</v>
      </c>
      <c r="AB238" s="17">
        <f t="shared" si="165"/>
        <v>452003</v>
      </c>
      <c r="AC238" s="17">
        <f t="shared" si="165"/>
        <v>450951</v>
      </c>
      <c r="AD238" s="17">
        <f t="shared" si="165"/>
        <v>457455</v>
      </c>
      <c r="AE238" s="17">
        <f t="shared" si="165"/>
        <v>459062</v>
      </c>
      <c r="AF238" s="17">
        <f t="shared" si="165"/>
        <v>472656</v>
      </c>
      <c r="AG238" s="17">
        <f t="shared" si="165"/>
        <v>487062</v>
      </c>
      <c r="AH238" s="17">
        <f t="shared" si="165"/>
        <v>609410</v>
      </c>
      <c r="AI238" s="17">
        <f t="shared" si="165"/>
        <v>598958</v>
      </c>
      <c r="AJ238" s="17">
        <f t="shared" si="165"/>
        <v>602002</v>
      </c>
      <c r="AK238" s="17">
        <f t="shared" si="165"/>
        <v>654946</v>
      </c>
      <c r="AL238" s="17">
        <f t="shared" si="165"/>
        <v>671278</v>
      </c>
      <c r="AM238" s="17">
        <f t="shared" si="165"/>
        <v>692410</v>
      </c>
      <c r="AN238" s="17">
        <f t="shared" si="165"/>
        <v>721422</v>
      </c>
      <c r="AO238" s="17">
        <f t="shared" si="165"/>
        <v>748851</v>
      </c>
      <c r="AP238" s="17">
        <f t="shared" si="165"/>
        <v>774096</v>
      </c>
      <c r="AQ238" s="17">
        <f t="shared" si="165"/>
        <v>800037</v>
      </c>
      <c r="AR238" s="17">
        <f t="shared" si="165"/>
        <v>833157</v>
      </c>
      <c r="AS238" s="17">
        <f t="shared" si="165"/>
        <v>1005114</v>
      </c>
      <c r="AT238" s="17">
        <f t="shared" si="165"/>
        <v>1023199</v>
      </c>
      <c r="AU238" s="17">
        <f t="shared" si="165"/>
        <v>1063942</v>
      </c>
      <c r="AV238" s="17">
        <f t="shared" si="165"/>
        <v>1187550</v>
      </c>
      <c r="AW238" s="17">
        <f t="shared" si="165"/>
        <v>1230665</v>
      </c>
      <c r="AX238" s="17">
        <f t="shared" si="165"/>
        <v>1283838</v>
      </c>
      <c r="AY238" s="243"/>
      <c r="AZ238" s="44"/>
      <c r="BA238" s="148"/>
      <c r="BB238" s="136"/>
      <c r="BC238" s="9"/>
      <c r="BD238" s="9"/>
      <c r="BE238" s="9"/>
      <c r="BF238" s="9"/>
      <c r="BG238" s="9"/>
      <c r="BH238" s="9"/>
      <c r="BI238" s="9"/>
      <c r="BJ238" s="9"/>
      <c r="BK238" s="9"/>
      <c r="BL238" s="9"/>
    </row>
    <row r="239" spans="2:64" x14ac:dyDescent="0.2"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T239" s="9"/>
      <c r="U239" s="9"/>
      <c r="V239" s="9"/>
      <c r="W239" s="9"/>
      <c r="X239" s="9"/>
      <c r="Y239" s="9"/>
      <c r="Z239" s="9"/>
      <c r="AA239" s="9"/>
      <c r="AB239" s="118"/>
      <c r="AC239" s="9"/>
      <c r="AD239" s="9"/>
      <c r="AE239" s="9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Q239" s="118"/>
      <c r="AR239" s="118"/>
      <c r="AS239" s="118"/>
      <c r="AT239" s="118"/>
      <c r="AU239" s="118"/>
      <c r="AV239" s="118"/>
      <c r="AW239" s="118"/>
      <c r="AX239" s="118"/>
      <c r="AY239" s="243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</row>
    <row r="240" spans="2:64" x14ac:dyDescent="0.2">
      <c r="C240" s="4" t="s">
        <v>121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>
        <v>8539</v>
      </c>
      <c r="Q240" s="8">
        <v>8782</v>
      </c>
      <c r="R240" s="8">
        <v>17111</v>
      </c>
      <c r="T240" s="8">
        <v>28155</v>
      </c>
      <c r="U240" s="8">
        <v>52625</v>
      </c>
      <c r="V240" s="8">
        <v>89077</v>
      </c>
      <c r="W240" s="8">
        <v>66452</v>
      </c>
      <c r="X240" s="8">
        <v>110005</v>
      </c>
      <c r="Y240" s="8">
        <v>167397</v>
      </c>
      <c r="Z240" s="8">
        <v>175494</v>
      </c>
      <c r="AA240" s="8">
        <v>195850</v>
      </c>
      <c r="AB240" s="8">
        <v>195459</v>
      </c>
      <c r="AC240" s="8">
        <v>234229</v>
      </c>
      <c r="AD240" s="8">
        <v>267585</v>
      </c>
      <c r="AE240" s="8">
        <v>276328</v>
      </c>
      <c r="AF240" s="8">
        <v>359950</v>
      </c>
      <c r="AG240" s="8">
        <v>467180</v>
      </c>
      <c r="AH240" s="8">
        <v>490027</v>
      </c>
      <c r="AI240" s="8">
        <v>490912</v>
      </c>
      <c r="AJ240" s="8">
        <v>639325</v>
      </c>
      <c r="AK240" s="8">
        <v>614331</v>
      </c>
      <c r="AL240" s="8">
        <v>543220</v>
      </c>
      <c r="AM240" s="8">
        <v>566261</v>
      </c>
      <c r="AN240" s="8">
        <v>796689</v>
      </c>
      <c r="AO240" s="8">
        <v>879010</v>
      </c>
      <c r="AP240" s="8">
        <v>899376</v>
      </c>
      <c r="AQ240" s="8">
        <v>1180628</v>
      </c>
      <c r="AR240" s="8">
        <v>1442251</v>
      </c>
      <c r="AS240" s="8">
        <v>1448402</v>
      </c>
      <c r="AT240" s="8">
        <v>1581167</v>
      </c>
      <c r="AU240" s="8">
        <v>1449831</v>
      </c>
      <c r="AV240" s="8">
        <v>1606674</v>
      </c>
      <c r="AW240" s="8">
        <v>1328528</v>
      </c>
      <c r="AX240" s="8">
        <v>1331905</v>
      </c>
      <c r="AY240" s="243"/>
      <c r="AZ240" s="9"/>
      <c r="BA240" s="148"/>
      <c r="BB240" s="118"/>
      <c r="BC240" s="9"/>
      <c r="BD240" s="9"/>
      <c r="BE240" s="9"/>
      <c r="BF240" s="9"/>
      <c r="BG240" s="9"/>
      <c r="BH240" s="9"/>
      <c r="BI240" s="9"/>
      <c r="BJ240" s="9"/>
      <c r="BK240" s="9"/>
      <c r="BL240" s="9"/>
    </row>
    <row r="241" spans="2:64" x14ac:dyDescent="0.2">
      <c r="C241" s="4" t="s">
        <v>119</v>
      </c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>
        <v>7055</v>
      </c>
      <c r="Q241" s="8">
        <v>6700</v>
      </c>
      <c r="R241" s="8">
        <v>22638</v>
      </c>
      <c r="T241" s="8">
        <v>28118</v>
      </c>
      <c r="U241" s="8">
        <v>33505</v>
      </c>
      <c r="V241" s="8">
        <v>93634</v>
      </c>
      <c r="W241" s="8">
        <v>92712</v>
      </c>
      <c r="X241" s="8">
        <v>85954</v>
      </c>
      <c r="Y241" s="8">
        <v>88558</v>
      </c>
      <c r="Z241" s="8">
        <v>88760</v>
      </c>
      <c r="AA241" s="8">
        <v>96786</v>
      </c>
      <c r="AB241" s="8">
        <v>103462</v>
      </c>
      <c r="AC241" s="8">
        <v>120540</v>
      </c>
      <c r="AD241" s="8">
        <v>122839</v>
      </c>
      <c r="AE241" s="8">
        <v>136814</v>
      </c>
      <c r="AF241" s="8">
        <v>147954</v>
      </c>
      <c r="AG241" s="8">
        <v>151836</v>
      </c>
      <c r="AH241" s="8">
        <v>153726</v>
      </c>
      <c r="AI241" s="8">
        <v>158681</v>
      </c>
      <c r="AJ241" s="8">
        <v>177619</v>
      </c>
      <c r="AK241" s="8">
        <v>148972</v>
      </c>
      <c r="AL241" s="8">
        <v>136012</v>
      </c>
      <c r="AM241" s="8">
        <v>164250</v>
      </c>
      <c r="AN241" s="8">
        <v>169506</v>
      </c>
      <c r="AO241" s="8">
        <v>180577</v>
      </c>
      <c r="AP241" s="8">
        <v>185932</v>
      </c>
      <c r="AQ241" s="8">
        <v>218520</v>
      </c>
      <c r="AR241" s="8">
        <v>224799</v>
      </c>
      <c r="AS241" s="8">
        <v>272224</v>
      </c>
      <c r="AT241" s="8">
        <v>246678</v>
      </c>
      <c r="AU241" s="8">
        <v>291048</v>
      </c>
      <c r="AV241" s="8">
        <v>247035</v>
      </c>
      <c r="AW241" s="8">
        <v>267129</v>
      </c>
      <c r="AX241" s="8">
        <v>285465</v>
      </c>
      <c r="AY241" s="243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</row>
    <row r="242" spans="2:64" x14ac:dyDescent="0.2">
      <c r="C242" s="4" t="s">
        <v>122</v>
      </c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>
        <v>0</v>
      </c>
      <c r="Q242" s="8">
        <v>3037</v>
      </c>
      <c r="R242" s="8">
        <v>99</v>
      </c>
      <c r="T242" s="8">
        <v>0</v>
      </c>
      <c r="U242" s="8">
        <v>0</v>
      </c>
      <c r="V242" s="8">
        <v>0</v>
      </c>
      <c r="W242" s="8">
        <v>0</v>
      </c>
      <c r="X242" s="8">
        <v>12</v>
      </c>
      <c r="Y242" s="8">
        <v>12</v>
      </c>
      <c r="Z242" s="8">
        <v>0</v>
      </c>
      <c r="AA242" s="8"/>
      <c r="AB242" s="8">
        <v>23114</v>
      </c>
      <c r="AC242" s="8">
        <v>2947</v>
      </c>
      <c r="AD242" s="8">
        <v>6493</v>
      </c>
      <c r="AE242" s="8">
        <v>181</v>
      </c>
      <c r="AF242" s="8">
        <v>18033</v>
      </c>
      <c r="AG242" s="8"/>
      <c r="AH242" s="8"/>
      <c r="AI242" s="8">
        <v>175</v>
      </c>
      <c r="AJ242" s="8">
        <v>37</v>
      </c>
      <c r="AK242" s="8">
        <v>252</v>
      </c>
      <c r="AL242" s="8">
        <v>262</v>
      </c>
      <c r="AM242" s="8">
        <v>271</v>
      </c>
      <c r="AN242" s="8">
        <v>211</v>
      </c>
      <c r="AO242" s="8">
        <v>90</v>
      </c>
      <c r="AP242" s="8">
        <v>92</v>
      </c>
      <c r="AQ242" s="8">
        <v>32</v>
      </c>
      <c r="AR242" s="8">
        <v>0</v>
      </c>
      <c r="AS242" s="8">
        <v>624</v>
      </c>
      <c r="AT242" s="8">
        <v>3</v>
      </c>
      <c r="AU242" s="8">
        <v>3</v>
      </c>
      <c r="AV242" s="8">
        <v>0</v>
      </c>
      <c r="AW242" s="8">
        <v>0</v>
      </c>
      <c r="AX242" s="8">
        <v>0</v>
      </c>
      <c r="AY242" s="118"/>
      <c r="AZ242" s="9"/>
      <c r="BA242" s="9"/>
      <c r="BB242" s="9"/>
      <c r="BC242" s="9"/>
      <c r="BD242" s="9"/>
      <c r="BE242" s="9"/>
      <c r="BF242" s="9"/>
      <c r="BH242" s="9"/>
      <c r="BI242" s="9"/>
      <c r="BJ242" s="9"/>
      <c r="BK242" s="9"/>
    </row>
    <row r="243" spans="2:64" x14ac:dyDescent="0.2">
      <c r="C243" s="6" t="s">
        <v>123</v>
      </c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>
        <f>SUM(P240:P242)</f>
        <v>15594</v>
      </c>
      <c r="Q243" s="15">
        <f>SUM(Q240:Q242)</f>
        <v>18519</v>
      </c>
      <c r="R243" s="15">
        <f>SUM(R240:R242)</f>
        <v>39848</v>
      </c>
      <c r="S243" s="15">
        <v>38601</v>
      </c>
      <c r="T243" s="15">
        <f t="shared" ref="T243:AF243" si="166">SUM(T240:T242)</f>
        <v>56273</v>
      </c>
      <c r="U243" s="15">
        <f t="shared" si="166"/>
        <v>86130</v>
      </c>
      <c r="V243" s="15">
        <f t="shared" si="166"/>
        <v>182711</v>
      </c>
      <c r="W243" s="15">
        <f t="shared" si="166"/>
        <v>159164</v>
      </c>
      <c r="X243" s="15">
        <f t="shared" si="166"/>
        <v>195971</v>
      </c>
      <c r="Y243" s="15">
        <f t="shared" si="166"/>
        <v>255967</v>
      </c>
      <c r="Z243" s="15">
        <f t="shared" si="166"/>
        <v>264254</v>
      </c>
      <c r="AA243" s="15">
        <f t="shared" si="166"/>
        <v>292636</v>
      </c>
      <c r="AB243" s="15">
        <f t="shared" si="166"/>
        <v>322035</v>
      </c>
      <c r="AC243" s="15">
        <f t="shared" si="166"/>
        <v>357716</v>
      </c>
      <c r="AD243" s="15">
        <f t="shared" si="166"/>
        <v>396917</v>
      </c>
      <c r="AE243" s="15">
        <f t="shared" si="166"/>
        <v>413323</v>
      </c>
      <c r="AF243" s="15">
        <f t="shared" si="166"/>
        <v>525937</v>
      </c>
      <c r="AG243" s="15">
        <f t="shared" ref="AG243:AN243" si="167">SUM(AG240:AG242)</f>
        <v>619016</v>
      </c>
      <c r="AH243" s="15">
        <f t="shared" si="167"/>
        <v>643753</v>
      </c>
      <c r="AI243" s="15">
        <f t="shared" si="167"/>
        <v>649768</v>
      </c>
      <c r="AJ243" s="15">
        <f t="shared" si="167"/>
        <v>816981</v>
      </c>
      <c r="AK243" s="15">
        <f t="shared" si="167"/>
        <v>763555</v>
      </c>
      <c r="AL243" s="15">
        <f t="shared" si="167"/>
        <v>679494</v>
      </c>
      <c r="AM243" s="15">
        <f t="shared" si="167"/>
        <v>730782</v>
      </c>
      <c r="AN243" s="15">
        <f t="shared" si="167"/>
        <v>966406</v>
      </c>
      <c r="AO243" s="15">
        <f t="shared" ref="AO243:AQ243" si="168">SUM(AO240:AO242)</f>
        <v>1059677</v>
      </c>
      <c r="AP243" s="15">
        <f t="shared" si="168"/>
        <v>1085400</v>
      </c>
      <c r="AQ243" s="15">
        <f t="shared" si="168"/>
        <v>1399180</v>
      </c>
      <c r="AR243" s="15">
        <f t="shared" ref="AR243:AS243" si="169">SUM(AR240:AR242)</f>
        <v>1667050</v>
      </c>
      <c r="AS243" s="15">
        <f t="shared" si="169"/>
        <v>1721250</v>
      </c>
      <c r="AT243" s="15">
        <f t="shared" ref="AT243:AV243" si="170">SUM(AT240:AT242)</f>
        <v>1827848</v>
      </c>
      <c r="AU243" s="15">
        <f t="shared" si="170"/>
        <v>1740882</v>
      </c>
      <c r="AV243" s="15">
        <f t="shared" si="170"/>
        <v>1853709</v>
      </c>
      <c r="AW243" s="15">
        <f t="shared" ref="AW243:AX243" si="171">SUM(AW240:AW242)</f>
        <v>1595657</v>
      </c>
      <c r="AX243" s="15">
        <f t="shared" si="171"/>
        <v>1617370</v>
      </c>
      <c r="AY243" s="243"/>
      <c r="AZ243" s="9"/>
      <c r="BA243" s="9"/>
      <c r="BB243" s="9"/>
      <c r="BC243" s="9"/>
      <c r="BD243" s="9"/>
      <c r="BE243" s="9"/>
      <c r="BF243" s="9"/>
      <c r="BH243" s="9"/>
      <c r="BI243" s="9"/>
      <c r="BJ243" s="9"/>
      <c r="BK243" s="9"/>
    </row>
    <row r="244" spans="2:64" x14ac:dyDescent="0.2">
      <c r="C244" s="6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243"/>
      <c r="AZ244" s="9"/>
      <c r="BA244" s="9"/>
      <c r="BB244" s="9"/>
      <c r="BC244" s="9"/>
      <c r="BD244" s="9"/>
      <c r="BE244" s="9"/>
      <c r="BF244" s="9"/>
      <c r="BH244" s="9"/>
      <c r="BI244" s="9"/>
      <c r="BJ244" s="9"/>
      <c r="BK244" s="9"/>
    </row>
    <row r="245" spans="2:64" s="6" customFormat="1" x14ac:dyDescent="0.2">
      <c r="B245" s="13"/>
      <c r="C245" s="6" t="s">
        <v>124</v>
      </c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>
        <f t="shared" ref="P245:Z245" si="172">P238+P243</f>
        <v>145420</v>
      </c>
      <c r="Q245" s="15">
        <f>Q238+Q243</f>
        <v>220605</v>
      </c>
      <c r="R245" s="15">
        <f t="shared" si="172"/>
        <v>276467</v>
      </c>
      <c r="T245" s="15">
        <f t="shared" si="172"/>
        <v>358914</v>
      </c>
      <c r="U245" s="15">
        <f t="shared" si="172"/>
        <v>401503</v>
      </c>
      <c r="V245" s="15">
        <f t="shared" si="172"/>
        <v>579226</v>
      </c>
      <c r="W245" s="15">
        <f t="shared" si="172"/>
        <v>548039</v>
      </c>
      <c r="X245" s="15">
        <f t="shared" si="172"/>
        <v>598874</v>
      </c>
      <c r="Y245" s="15">
        <f t="shared" si="172"/>
        <v>647075</v>
      </c>
      <c r="Z245" s="15">
        <f t="shared" si="172"/>
        <v>667593</v>
      </c>
      <c r="AA245" s="15">
        <f t="shared" ref="AA245:AF245" si="173">AA238+AA243</f>
        <v>718044</v>
      </c>
      <c r="AB245" s="15">
        <f t="shared" si="173"/>
        <v>774038</v>
      </c>
      <c r="AC245" s="15">
        <f t="shared" si="173"/>
        <v>808667</v>
      </c>
      <c r="AD245" s="15">
        <f t="shared" si="173"/>
        <v>854372</v>
      </c>
      <c r="AE245" s="15">
        <f t="shared" si="173"/>
        <v>872385</v>
      </c>
      <c r="AF245" s="15">
        <f t="shared" si="173"/>
        <v>998593</v>
      </c>
      <c r="AG245" s="15">
        <f t="shared" ref="AG245:AL245" si="174">AG238+AG243</f>
        <v>1106078</v>
      </c>
      <c r="AH245" s="15">
        <f t="shared" si="174"/>
        <v>1253163</v>
      </c>
      <c r="AI245" s="15">
        <f t="shared" si="174"/>
        <v>1248726</v>
      </c>
      <c r="AJ245" s="15">
        <f t="shared" si="174"/>
        <v>1418983</v>
      </c>
      <c r="AK245" s="15">
        <f t="shared" si="174"/>
        <v>1418501</v>
      </c>
      <c r="AL245" s="15">
        <f t="shared" si="174"/>
        <v>1350772</v>
      </c>
      <c r="AM245" s="15">
        <f t="shared" ref="AM245:AN245" si="175">AM238+AM243</f>
        <v>1423192</v>
      </c>
      <c r="AN245" s="15">
        <f t="shared" si="175"/>
        <v>1687828</v>
      </c>
      <c r="AO245" s="15">
        <f t="shared" ref="AO245:AP245" si="176">AO238+AO243</f>
        <v>1808528</v>
      </c>
      <c r="AP245" s="15">
        <f t="shared" si="176"/>
        <v>1859496</v>
      </c>
      <c r="AQ245" s="15">
        <f t="shared" ref="AQ245:AR245" si="177">AQ238+AQ243</f>
        <v>2199217</v>
      </c>
      <c r="AR245" s="15">
        <f t="shared" si="177"/>
        <v>2500207</v>
      </c>
      <c r="AS245" s="15">
        <f t="shared" ref="AS245:AT245" si="178">AS238+AS243</f>
        <v>2726364</v>
      </c>
      <c r="AT245" s="15">
        <f t="shared" si="178"/>
        <v>2851047</v>
      </c>
      <c r="AU245" s="15">
        <f t="shared" ref="AU245:AV245" si="179">AU238+AU243</f>
        <v>2804824</v>
      </c>
      <c r="AV245" s="15">
        <f t="shared" si="179"/>
        <v>3041259</v>
      </c>
      <c r="AW245" s="15">
        <f t="shared" ref="AW245:AX245" si="180">AW238+AW243</f>
        <v>2826322</v>
      </c>
      <c r="AX245" s="15">
        <f t="shared" si="180"/>
        <v>2901208</v>
      </c>
      <c r="AY245" s="243"/>
      <c r="AZ245" s="44"/>
      <c r="BA245" s="148"/>
      <c r="BB245" s="136"/>
      <c r="BC245" s="13"/>
      <c r="BD245" s="13"/>
      <c r="BE245" s="13"/>
      <c r="BF245" s="13"/>
      <c r="BG245" s="13"/>
      <c r="BH245" s="13"/>
      <c r="BI245" s="13"/>
      <c r="BJ245" s="13"/>
      <c r="BK245" s="13"/>
    </row>
    <row r="246" spans="2:64" s="32" customFormat="1" x14ac:dyDescent="0.2">
      <c r="B246" s="44"/>
      <c r="C246" s="32" t="s">
        <v>31</v>
      </c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>
        <f>P245-P39</f>
        <v>0</v>
      </c>
      <c r="Q246" s="34">
        <f>Q245-Q39</f>
        <v>0</v>
      </c>
      <c r="R246" s="34">
        <f>R245-R39</f>
        <v>0</v>
      </c>
      <c r="T246" s="34">
        <f t="shared" ref="T246:AX246" si="181">T245-T39</f>
        <v>0</v>
      </c>
      <c r="U246" s="34">
        <f t="shared" si="181"/>
        <v>0</v>
      </c>
      <c r="V246" s="34">
        <f t="shared" si="181"/>
        <v>0</v>
      </c>
      <c r="W246" s="34">
        <f t="shared" si="181"/>
        <v>0</v>
      </c>
      <c r="X246" s="34">
        <f t="shared" si="181"/>
        <v>0</v>
      </c>
      <c r="Y246" s="34">
        <f t="shared" si="181"/>
        <v>0</v>
      </c>
      <c r="Z246" s="34">
        <f t="shared" si="181"/>
        <v>0</v>
      </c>
      <c r="AA246" s="34">
        <f t="shared" si="181"/>
        <v>0</v>
      </c>
      <c r="AB246" s="34">
        <f t="shared" si="181"/>
        <v>0</v>
      </c>
      <c r="AC246" s="34">
        <f t="shared" si="181"/>
        <v>0</v>
      </c>
      <c r="AD246" s="34">
        <f t="shared" si="181"/>
        <v>0</v>
      </c>
      <c r="AE246" s="34">
        <f t="shared" si="181"/>
        <v>0</v>
      </c>
      <c r="AF246" s="34">
        <f t="shared" si="181"/>
        <v>0</v>
      </c>
      <c r="AG246" s="34">
        <f t="shared" si="181"/>
        <v>0</v>
      </c>
      <c r="AH246" s="34">
        <f t="shared" si="181"/>
        <v>0</v>
      </c>
      <c r="AI246" s="34">
        <f t="shared" si="181"/>
        <v>0</v>
      </c>
      <c r="AJ246" s="34">
        <f t="shared" si="181"/>
        <v>0</v>
      </c>
      <c r="AK246" s="34">
        <f t="shared" si="181"/>
        <v>0</v>
      </c>
      <c r="AL246" s="34">
        <f t="shared" si="181"/>
        <v>0</v>
      </c>
      <c r="AM246" s="34">
        <f t="shared" si="181"/>
        <v>0</v>
      </c>
      <c r="AN246" s="34">
        <f t="shared" si="181"/>
        <v>0</v>
      </c>
      <c r="AO246" s="34">
        <f t="shared" si="181"/>
        <v>0</v>
      </c>
      <c r="AP246" s="34">
        <f t="shared" si="181"/>
        <v>0</v>
      </c>
      <c r="AQ246" s="34">
        <f t="shared" si="181"/>
        <v>0</v>
      </c>
      <c r="AR246" s="34">
        <f t="shared" si="181"/>
        <v>0</v>
      </c>
      <c r="AS246" s="34">
        <f t="shared" si="181"/>
        <v>0</v>
      </c>
      <c r="AT246" s="34">
        <f t="shared" si="181"/>
        <v>0</v>
      </c>
      <c r="AU246" s="34">
        <f t="shared" si="181"/>
        <v>0</v>
      </c>
      <c r="AV246" s="34">
        <f t="shared" si="181"/>
        <v>0</v>
      </c>
      <c r="AW246" s="34">
        <f t="shared" si="181"/>
        <v>0</v>
      </c>
      <c r="AX246" s="34">
        <f t="shared" si="181"/>
        <v>0</v>
      </c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</row>
    <row r="247" spans="2:64" s="32" customFormat="1" x14ac:dyDescent="0.2">
      <c r="B247" s="4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</row>
    <row r="248" spans="2:64" s="32" customFormat="1" x14ac:dyDescent="0.2">
      <c r="B248" s="44"/>
      <c r="C248" s="6" t="s">
        <v>205</v>
      </c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15">
        <f>SUM(P236:P237,P241:P242)</f>
        <v>9738</v>
      </c>
      <c r="Q248" s="15">
        <f>SUM(Q236:Q237,Q241:Q242)</f>
        <v>14607</v>
      </c>
      <c r="R248" s="15">
        <f t="shared" ref="R248:AC248" si="182">SUM(R236:R237,R241)</f>
        <v>29683</v>
      </c>
      <c r="S248" s="15">
        <f t="shared" si="182"/>
        <v>0</v>
      </c>
      <c r="T248" s="15">
        <f t="shared" si="182"/>
        <v>48997</v>
      </c>
      <c r="U248" s="15">
        <f t="shared" si="182"/>
        <v>47933</v>
      </c>
      <c r="V248" s="15">
        <f t="shared" si="182"/>
        <v>126406</v>
      </c>
      <c r="W248" s="15">
        <f t="shared" si="182"/>
        <v>126787</v>
      </c>
      <c r="X248" s="15">
        <f t="shared" si="182"/>
        <v>127749</v>
      </c>
      <c r="Y248" s="15">
        <f t="shared" si="182"/>
        <v>126873</v>
      </c>
      <c r="Z248" s="15">
        <f t="shared" si="182"/>
        <v>128624</v>
      </c>
      <c r="AA248" s="15">
        <f t="shared" si="182"/>
        <v>141659</v>
      </c>
      <c r="AB248" s="15">
        <f>SUM(AB236:AB237,AB241)</f>
        <v>156256</v>
      </c>
      <c r="AC248" s="15">
        <f t="shared" si="182"/>
        <v>172665</v>
      </c>
      <c r="AD248" s="15">
        <f t="shared" ref="AD248:AI248" si="183">SUM(AD236:AD237,AD241)</f>
        <v>180886</v>
      </c>
      <c r="AE248" s="15">
        <f t="shared" si="183"/>
        <v>202074</v>
      </c>
      <c r="AF248" s="15">
        <f t="shared" si="183"/>
        <v>228456</v>
      </c>
      <c r="AG248" s="15">
        <f t="shared" si="183"/>
        <v>232947</v>
      </c>
      <c r="AH248" s="15">
        <f t="shared" si="183"/>
        <v>286166</v>
      </c>
      <c r="AI248" s="15">
        <f t="shared" si="183"/>
        <v>290671</v>
      </c>
      <c r="AJ248" s="15">
        <f>SUM(AJ236:AJ237,AJ241)</f>
        <v>317914</v>
      </c>
      <c r="AK248" s="15">
        <f t="shared" ref="AK248" si="184">SUM(AK236:AK237,AK241)</f>
        <v>249869</v>
      </c>
      <c r="AL248" s="15">
        <f t="shared" ref="AL248:AM248" si="185">SUM(AL236:AL237,AL241)</f>
        <v>253957</v>
      </c>
      <c r="AM248" s="15">
        <f t="shared" si="185"/>
        <v>292777</v>
      </c>
      <c r="AN248" s="15">
        <f t="shared" ref="AN248:AR248" si="186">SUM(AN236:AN237,AN241)</f>
        <v>318283</v>
      </c>
      <c r="AO248" s="15">
        <f t="shared" si="186"/>
        <v>339699</v>
      </c>
      <c r="AP248" s="15">
        <f t="shared" si="186"/>
        <v>366006</v>
      </c>
      <c r="AQ248" s="15">
        <f t="shared" si="186"/>
        <v>398855</v>
      </c>
      <c r="AR248" s="15">
        <f t="shared" si="186"/>
        <v>404936</v>
      </c>
      <c r="AS248" s="15">
        <f t="shared" ref="AS248:AX248" si="187">SUM(AS236:AS237,AS241)</f>
        <v>472798</v>
      </c>
      <c r="AT248" s="15">
        <f t="shared" si="187"/>
        <v>467083</v>
      </c>
      <c r="AU248" s="15">
        <f t="shared" si="187"/>
        <v>502402</v>
      </c>
      <c r="AV248" s="15">
        <f t="shared" si="187"/>
        <v>491036</v>
      </c>
      <c r="AW248" s="15">
        <f t="shared" si="187"/>
        <v>473711</v>
      </c>
      <c r="AX248" s="15">
        <f t="shared" si="187"/>
        <v>545273</v>
      </c>
      <c r="AY248" s="2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</row>
    <row r="249" spans="2:64" x14ac:dyDescent="0.2">
      <c r="C249" s="6" t="s">
        <v>206</v>
      </c>
      <c r="P249" s="15">
        <f>SUM(P235,P240)</f>
        <v>135682</v>
      </c>
      <c r="Q249" s="15">
        <f>SUM(Q235,Q240)</f>
        <v>205998</v>
      </c>
      <c r="R249" s="15">
        <f t="shared" ref="R249:X249" si="188">SUM(R235,R240)</f>
        <v>246685</v>
      </c>
      <c r="S249" s="15">
        <f t="shared" si="188"/>
        <v>0</v>
      </c>
      <c r="T249" s="15">
        <f t="shared" si="188"/>
        <v>309917</v>
      </c>
      <c r="U249" s="15">
        <f>SUM(U235,U240)</f>
        <v>353570</v>
      </c>
      <c r="V249" s="15">
        <f t="shared" si="188"/>
        <v>452820</v>
      </c>
      <c r="W249" s="15">
        <f t="shared" si="188"/>
        <v>421252</v>
      </c>
      <c r="X249" s="15">
        <f t="shared" si="188"/>
        <v>471113</v>
      </c>
      <c r="Y249" s="15">
        <f t="shared" ref="Y249:AH249" si="189">SUM(Y235,Y240)</f>
        <v>520190</v>
      </c>
      <c r="Z249" s="15">
        <f t="shared" si="189"/>
        <v>538969</v>
      </c>
      <c r="AA249" s="15">
        <f t="shared" si="189"/>
        <v>576385</v>
      </c>
      <c r="AB249" s="15">
        <f>SUM(AB235,AB240)</f>
        <v>594668</v>
      </c>
      <c r="AC249" s="15">
        <f t="shared" si="189"/>
        <v>633055</v>
      </c>
      <c r="AD249" s="15">
        <f t="shared" si="189"/>
        <v>666993</v>
      </c>
      <c r="AE249" s="15">
        <f>SUM(AE235,AE240)</f>
        <v>670130</v>
      </c>
      <c r="AF249" s="15">
        <f>SUM(AF235,AF240)</f>
        <v>752104</v>
      </c>
      <c r="AG249" s="15">
        <f t="shared" si="189"/>
        <v>873131</v>
      </c>
      <c r="AH249" s="15">
        <f t="shared" si="189"/>
        <v>966997</v>
      </c>
      <c r="AI249" s="15">
        <f t="shared" ref="AI249:AM249" si="190">SUM(AI235,AI240)</f>
        <v>957880</v>
      </c>
      <c r="AJ249" s="15">
        <f>SUM(AJ235,AJ240)</f>
        <v>1101032</v>
      </c>
      <c r="AK249" s="15">
        <f t="shared" si="190"/>
        <v>1168380</v>
      </c>
      <c r="AL249" s="15">
        <f t="shared" si="190"/>
        <v>1096553</v>
      </c>
      <c r="AM249" s="15">
        <f t="shared" si="190"/>
        <v>1130144</v>
      </c>
      <c r="AN249" s="15">
        <f t="shared" ref="AN249:AR249" si="191">SUM(AN235,AN240)</f>
        <v>1369334</v>
      </c>
      <c r="AO249" s="15">
        <f t="shared" si="191"/>
        <v>1468739</v>
      </c>
      <c r="AP249" s="15">
        <f t="shared" si="191"/>
        <v>1493398</v>
      </c>
      <c r="AQ249" s="15">
        <f t="shared" si="191"/>
        <v>1800330</v>
      </c>
      <c r="AR249" s="15">
        <f t="shared" si="191"/>
        <v>2095271</v>
      </c>
      <c r="AS249" s="15">
        <f t="shared" ref="AS249:AX249" si="192">SUM(AS235,AS240)</f>
        <v>2252942</v>
      </c>
      <c r="AT249" s="15">
        <f t="shared" si="192"/>
        <v>2383961</v>
      </c>
      <c r="AU249" s="15">
        <f t="shared" si="192"/>
        <v>2302419</v>
      </c>
      <c r="AV249" s="15">
        <f t="shared" si="192"/>
        <v>2550223</v>
      </c>
      <c r="AW249" s="15">
        <f t="shared" si="192"/>
        <v>2352611</v>
      </c>
      <c r="AX249" s="15">
        <f t="shared" si="192"/>
        <v>2355935</v>
      </c>
      <c r="AY249" s="244"/>
      <c r="AZ249" s="15"/>
      <c r="BA249" s="15"/>
      <c r="BB249" s="15"/>
      <c r="BC249" s="15"/>
      <c r="BD249" s="15"/>
      <c r="BE249" s="9"/>
      <c r="BF249" s="9"/>
      <c r="BG249" s="9"/>
      <c r="BH249" s="9"/>
      <c r="BI249" s="9"/>
      <c r="BJ249" s="9"/>
      <c r="BK249" s="9"/>
    </row>
    <row r="250" spans="2:64" x14ac:dyDescent="0.2"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</row>
    <row r="251" spans="2:64" s="5" customFormat="1" x14ac:dyDescent="0.2">
      <c r="B251" s="42">
        <v>4</v>
      </c>
      <c r="C251" s="41" t="s">
        <v>125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61"/>
    </row>
    <row r="252" spans="2:64" x14ac:dyDescent="0.2"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</row>
    <row r="253" spans="2:64" x14ac:dyDescent="0.2">
      <c r="C253" s="4" t="s">
        <v>199</v>
      </c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Z253" s="70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</row>
    <row r="254" spans="2:64" x14ac:dyDescent="0.2">
      <c r="C254" s="10" t="s">
        <v>50</v>
      </c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>
        <v>28433</v>
      </c>
      <c r="Q254" s="8">
        <v>38042</v>
      </c>
      <c r="R254" s="8">
        <v>51685</v>
      </c>
      <c r="T254" s="8">
        <v>59467</v>
      </c>
      <c r="U254" s="8">
        <v>94794</v>
      </c>
      <c r="V254" s="8">
        <v>93678</v>
      </c>
      <c r="W254" s="8">
        <v>53978</v>
      </c>
      <c r="X254" s="8">
        <v>60551</v>
      </c>
      <c r="Y254" s="8">
        <v>85098</v>
      </c>
      <c r="Z254" s="8">
        <v>84241</v>
      </c>
      <c r="AA254" s="8">
        <v>108207</v>
      </c>
      <c r="AB254" s="8">
        <v>99309</v>
      </c>
      <c r="AC254" s="8">
        <v>58343</v>
      </c>
      <c r="AD254" s="8">
        <v>153045</v>
      </c>
      <c r="AE254" s="8">
        <v>162357</v>
      </c>
      <c r="AF254" s="8">
        <v>110012</v>
      </c>
      <c r="AG254" s="8">
        <v>163512</v>
      </c>
      <c r="AH254" s="8">
        <v>115652</v>
      </c>
      <c r="AI254" s="8">
        <v>103840</v>
      </c>
      <c r="AJ254" s="8">
        <v>92074</v>
      </c>
      <c r="AK254" s="8">
        <v>165089</v>
      </c>
      <c r="AL254" s="8">
        <v>113117</v>
      </c>
      <c r="AM254" s="8">
        <v>141304</v>
      </c>
      <c r="AN254" s="8">
        <v>155628</v>
      </c>
      <c r="AO254" s="8">
        <v>173675</v>
      </c>
      <c r="AP254" s="8">
        <v>172766</v>
      </c>
      <c r="AQ254" s="8">
        <v>162644</v>
      </c>
      <c r="AR254" s="8">
        <v>161302</v>
      </c>
      <c r="AS254" s="8">
        <v>151562</v>
      </c>
      <c r="AT254" s="8">
        <v>131178</v>
      </c>
      <c r="AU254" s="8">
        <v>129894</v>
      </c>
      <c r="AV254" s="8">
        <v>152028</v>
      </c>
      <c r="AW254" s="8">
        <v>127472</v>
      </c>
      <c r="AX254" s="8">
        <v>128612</v>
      </c>
      <c r="AZ254" s="147"/>
      <c r="BA254" s="83"/>
      <c r="BB254" s="136"/>
      <c r="BC254" s="9"/>
      <c r="BD254" s="9"/>
      <c r="BE254" s="9"/>
      <c r="BF254" s="9"/>
      <c r="BG254" s="9"/>
      <c r="BH254" s="9"/>
      <c r="BI254" s="9"/>
      <c r="BJ254" s="9"/>
      <c r="BK254" s="9"/>
    </row>
    <row r="255" spans="2:64" x14ac:dyDescent="0.2">
      <c r="C255" s="10" t="s">
        <v>51</v>
      </c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>
        <v>102656</v>
      </c>
      <c r="Q255" s="8">
        <v>142508</v>
      </c>
      <c r="R255" s="8">
        <v>96536</v>
      </c>
      <c r="T255" s="8">
        <v>106363</v>
      </c>
      <c r="U255" s="8">
        <v>62674</v>
      </c>
      <c r="V255" s="8">
        <v>98987</v>
      </c>
      <c r="W255" s="8">
        <v>44472</v>
      </c>
      <c r="X255" s="8">
        <v>59293</v>
      </c>
      <c r="Y255" s="8">
        <v>25282</v>
      </c>
      <c r="Z255" s="8">
        <v>19114</v>
      </c>
      <c r="AA255" s="8">
        <v>11678</v>
      </c>
      <c r="AB255" s="8">
        <v>33160</v>
      </c>
      <c r="AC255" s="8">
        <v>11122</v>
      </c>
      <c r="AD255" s="8">
        <v>62667</v>
      </c>
      <c r="AE255" s="8">
        <v>62286</v>
      </c>
      <c r="AF255" s="8">
        <v>42556</v>
      </c>
      <c r="AG255" s="8">
        <v>10436</v>
      </c>
      <c r="AH255" s="8">
        <v>40766</v>
      </c>
      <c r="AI255" s="8">
        <v>62996</v>
      </c>
      <c r="AJ255" s="8">
        <v>63814</v>
      </c>
      <c r="AK255" s="8">
        <v>0</v>
      </c>
      <c r="AL255" s="8">
        <v>5207</v>
      </c>
      <c r="AM255" s="8">
        <v>6567</v>
      </c>
      <c r="AN255" s="8">
        <v>0</v>
      </c>
      <c r="AO255" s="8">
        <v>0</v>
      </c>
      <c r="AP255" s="8">
        <v>0</v>
      </c>
      <c r="AQ255" s="8">
        <v>0</v>
      </c>
      <c r="AR255" s="8">
        <v>977</v>
      </c>
      <c r="AS255" s="8">
        <v>1337</v>
      </c>
      <c r="AT255" s="8">
        <v>4655</v>
      </c>
      <c r="AU255" s="8">
        <v>5905</v>
      </c>
      <c r="AV255" s="8">
        <v>3432</v>
      </c>
      <c r="AW255" s="8">
        <v>4664</v>
      </c>
      <c r="AX255" s="8">
        <v>1815</v>
      </c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</row>
    <row r="256" spans="2:64" x14ac:dyDescent="0.2">
      <c r="C256" s="4" t="s">
        <v>200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</row>
    <row r="257" spans="3:63" x14ac:dyDescent="0.2">
      <c r="C257" s="10" t="s">
        <v>50</v>
      </c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>
        <v>2552</v>
      </c>
      <c r="Q257" s="8">
        <v>9549</v>
      </c>
      <c r="R257" s="8">
        <v>28368</v>
      </c>
      <c r="T257" s="8">
        <v>43269</v>
      </c>
      <c r="U257" s="8">
        <v>59002</v>
      </c>
      <c r="V257" s="8">
        <v>57972</v>
      </c>
      <c r="W257" s="8">
        <v>32450</v>
      </c>
      <c r="X257" s="8">
        <v>22010</v>
      </c>
      <c r="Y257" s="8">
        <v>45021</v>
      </c>
      <c r="Z257" s="8">
        <v>41987</v>
      </c>
      <c r="AA257" s="8">
        <v>52581</v>
      </c>
      <c r="AB257" s="8">
        <v>55640</v>
      </c>
      <c r="AC257" s="8">
        <v>16206</v>
      </c>
      <c r="AD257" s="8">
        <v>96902</v>
      </c>
      <c r="AE257" s="8">
        <v>140798</v>
      </c>
      <c r="AF257" s="8">
        <v>77335</v>
      </c>
      <c r="AG257" s="8">
        <v>116267</v>
      </c>
      <c r="AH257" s="8">
        <v>88049</v>
      </c>
      <c r="AI257" s="8">
        <v>74962</v>
      </c>
      <c r="AJ257" s="8">
        <v>38890</v>
      </c>
      <c r="AK257" s="8">
        <v>127200</v>
      </c>
      <c r="AL257" s="8">
        <v>88065</v>
      </c>
      <c r="AM257" s="8">
        <v>120742</v>
      </c>
      <c r="AN257" s="8">
        <v>173598</v>
      </c>
      <c r="AO257" s="8">
        <v>186512</v>
      </c>
      <c r="AP257" s="8">
        <v>177284</v>
      </c>
      <c r="AQ257" s="8">
        <v>205060</v>
      </c>
      <c r="AR257" s="8">
        <v>223573</v>
      </c>
      <c r="AS257" s="8">
        <v>169081</v>
      </c>
      <c r="AT257" s="8">
        <v>197216</v>
      </c>
      <c r="AU257" s="8">
        <v>182841</v>
      </c>
      <c r="AV257" s="8">
        <v>267676</v>
      </c>
      <c r="AW257" s="8">
        <v>266182</v>
      </c>
      <c r="AX257" s="8">
        <v>252010</v>
      </c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</row>
    <row r="258" spans="3:63" x14ac:dyDescent="0.2">
      <c r="C258" s="10" t="s">
        <v>51</v>
      </c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>
        <v>32480</v>
      </c>
      <c r="Q258" s="8">
        <v>62775</v>
      </c>
      <c r="R258" s="8">
        <v>50128</v>
      </c>
      <c r="T258" s="8">
        <v>69301</v>
      </c>
      <c r="U258" s="8">
        <v>30885</v>
      </c>
      <c r="V258" s="8">
        <v>42074</v>
      </c>
      <c r="W258" s="8">
        <v>13841</v>
      </c>
      <c r="X258" s="8">
        <v>45717</v>
      </c>
      <c r="Y258" s="8">
        <v>25363</v>
      </c>
      <c r="Z258" s="8">
        <v>35808</v>
      </c>
      <c r="AA258" s="8">
        <v>20666</v>
      </c>
      <c r="AB258" s="8">
        <v>24306</v>
      </c>
      <c r="AC258" s="8">
        <v>56733</v>
      </c>
      <c r="AD258" s="8">
        <v>80514</v>
      </c>
      <c r="AE258" s="8">
        <v>50776</v>
      </c>
      <c r="AF258" s="8">
        <v>88212</v>
      </c>
      <c r="AG258" s="8">
        <v>39556</v>
      </c>
      <c r="AH258" s="8">
        <v>66186</v>
      </c>
      <c r="AI258" s="8">
        <v>62525</v>
      </c>
      <c r="AJ258" s="8">
        <v>92803</v>
      </c>
      <c r="AK258" s="8">
        <v>0</v>
      </c>
      <c r="AL258" s="8">
        <v>37028</v>
      </c>
      <c r="AM258" s="8">
        <v>17889</v>
      </c>
      <c r="AN258" s="8">
        <v>0</v>
      </c>
      <c r="AO258" s="8">
        <v>0</v>
      </c>
      <c r="AP258" s="8">
        <v>0</v>
      </c>
      <c r="AQ258" s="8">
        <v>0</v>
      </c>
      <c r="AR258" s="8">
        <v>7115</v>
      </c>
      <c r="AS258" s="8">
        <v>52962</v>
      </c>
      <c r="AT258" s="8">
        <v>23534</v>
      </c>
      <c r="AU258" s="8">
        <v>21037</v>
      </c>
      <c r="AV258" s="8">
        <v>10490</v>
      </c>
      <c r="AW258" s="8">
        <v>7476</v>
      </c>
      <c r="AX258" s="8">
        <v>3958</v>
      </c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</row>
    <row r="259" spans="3:63" x14ac:dyDescent="0.2">
      <c r="C259" s="4" t="s">
        <v>297</v>
      </c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</row>
    <row r="260" spans="3:63" x14ac:dyDescent="0.2">
      <c r="C260" s="10" t="s">
        <v>50</v>
      </c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>
        <v>4247</v>
      </c>
      <c r="Q260" s="8">
        <v>8916</v>
      </c>
      <c r="R260" s="8">
        <v>7111</v>
      </c>
      <c r="S260" s="12"/>
      <c r="T260" s="8">
        <v>27863</v>
      </c>
      <c r="U260" s="8">
        <v>40812</v>
      </c>
      <c r="V260" s="8">
        <v>42292</v>
      </c>
      <c r="W260" s="8">
        <v>28000</v>
      </c>
      <c r="X260" s="8">
        <v>22499</v>
      </c>
      <c r="Y260" s="8">
        <v>28327</v>
      </c>
      <c r="Z260" s="8">
        <v>27947</v>
      </c>
      <c r="AA260" s="8">
        <v>27238</v>
      </c>
      <c r="AB260" s="8">
        <v>30664</v>
      </c>
      <c r="AC260" s="8">
        <v>103279</v>
      </c>
      <c r="AD260" s="8">
        <v>16787</v>
      </c>
      <c r="AE260" s="8">
        <v>20536</v>
      </c>
      <c r="AF260" s="8">
        <v>21515</v>
      </c>
      <c r="AG260" s="8">
        <v>18137</v>
      </c>
      <c r="AH260" s="8">
        <v>13055</v>
      </c>
      <c r="AI260" s="8">
        <v>2731</v>
      </c>
      <c r="AJ260" s="8">
        <v>2023</v>
      </c>
      <c r="AK260" s="8">
        <v>10696</v>
      </c>
      <c r="AL260" s="8">
        <v>6950</v>
      </c>
      <c r="AM260" s="8">
        <v>11196</v>
      </c>
      <c r="AN260" s="8">
        <v>10567</v>
      </c>
      <c r="AO260" s="8">
        <v>10805</v>
      </c>
      <c r="AP260" s="8">
        <v>11024</v>
      </c>
      <c r="AQ260" s="8">
        <v>10576</v>
      </c>
      <c r="AR260" s="8">
        <v>8959</v>
      </c>
      <c r="AS260" s="8">
        <v>8439</v>
      </c>
      <c r="AT260" s="8">
        <v>9426</v>
      </c>
      <c r="AU260" s="8">
        <v>8583</v>
      </c>
      <c r="AV260" s="8">
        <v>11954</v>
      </c>
      <c r="AW260" s="8">
        <v>11138</v>
      </c>
      <c r="AX260" s="8">
        <v>10744</v>
      </c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</row>
    <row r="261" spans="3:63" x14ac:dyDescent="0.2">
      <c r="C261" s="10" t="s">
        <v>51</v>
      </c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>
        <v>34246</v>
      </c>
      <c r="Q261" s="8">
        <v>34815</v>
      </c>
      <c r="R261" s="8">
        <v>46962</v>
      </c>
      <c r="S261" s="12"/>
      <c r="T261" s="8">
        <v>33434</v>
      </c>
      <c r="U261" s="8">
        <v>16817</v>
      </c>
      <c r="V261" s="8">
        <v>4849</v>
      </c>
      <c r="W261" s="8">
        <v>1159</v>
      </c>
      <c r="X261" s="8">
        <v>5768</v>
      </c>
      <c r="Y261" s="8">
        <v>330</v>
      </c>
      <c r="Z261" s="8">
        <v>0</v>
      </c>
      <c r="AA261" s="8">
        <v>0</v>
      </c>
      <c r="AB261" s="8">
        <v>0</v>
      </c>
      <c r="AC261" s="8">
        <v>41802</v>
      </c>
      <c r="AD261" s="8">
        <v>13892</v>
      </c>
      <c r="AE261" s="8">
        <v>14509</v>
      </c>
      <c r="AF261" s="8">
        <v>4483</v>
      </c>
      <c r="AG261" s="8">
        <v>2</v>
      </c>
      <c r="AH261" s="8">
        <v>5111</v>
      </c>
      <c r="AI261" s="8">
        <v>14259</v>
      </c>
      <c r="AJ261" s="8">
        <v>11330</v>
      </c>
      <c r="AK261" s="8">
        <v>0</v>
      </c>
      <c r="AL261" s="8">
        <v>4965</v>
      </c>
      <c r="AM261" s="8">
        <v>0</v>
      </c>
      <c r="AN261" s="8">
        <v>0</v>
      </c>
      <c r="AO261" s="8">
        <v>0</v>
      </c>
      <c r="AP261" s="8">
        <v>0</v>
      </c>
      <c r="AQ261" s="8">
        <v>0</v>
      </c>
      <c r="AR261" s="8">
        <v>1285</v>
      </c>
      <c r="AS261" s="8">
        <v>867</v>
      </c>
      <c r="AT261" s="8">
        <v>0</v>
      </c>
      <c r="AU261" s="8">
        <v>324</v>
      </c>
      <c r="AV261" s="8">
        <v>189</v>
      </c>
      <c r="AW261" s="8">
        <v>227</v>
      </c>
      <c r="AX261" s="8">
        <v>0</v>
      </c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</row>
    <row r="262" spans="3:63" x14ac:dyDescent="0.2">
      <c r="C262" s="4" t="s">
        <v>201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</row>
    <row r="263" spans="3:63" x14ac:dyDescent="0.2">
      <c r="C263" s="10" t="s">
        <v>50</v>
      </c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>
        <v>1622</v>
      </c>
      <c r="Q263" s="8">
        <v>1631</v>
      </c>
      <c r="R263" s="8">
        <v>818</v>
      </c>
      <c r="T263" s="8">
        <v>204</v>
      </c>
      <c r="U263" s="8">
        <v>238</v>
      </c>
      <c r="V263" s="8">
        <v>0</v>
      </c>
      <c r="W263" s="8">
        <v>130</v>
      </c>
      <c r="X263" s="8">
        <v>126</v>
      </c>
      <c r="Y263" s="8">
        <v>126</v>
      </c>
      <c r="Z263" s="8">
        <v>157</v>
      </c>
      <c r="AA263" s="8">
        <v>110</v>
      </c>
      <c r="AB263" s="8">
        <v>98</v>
      </c>
      <c r="AC263" s="8">
        <v>381</v>
      </c>
      <c r="AD263" s="8">
        <v>7203</v>
      </c>
      <c r="AE263" s="8">
        <v>8367</v>
      </c>
      <c r="AF263" s="8">
        <v>8367</v>
      </c>
      <c r="AG263" s="8">
        <v>8445</v>
      </c>
      <c r="AH263" s="8">
        <v>5369</v>
      </c>
      <c r="AI263" s="8">
        <v>3266</v>
      </c>
      <c r="AJ263" s="8">
        <v>4452</v>
      </c>
      <c r="AK263" s="8">
        <v>28416</v>
      </c>
      <c r="AL263" s="8">
        <v>13305</v>
      </c>
      <c r="AM263" s="8">
        <v>14781</v>
      </c>
      <c r="AN263" s="8">
        <v>15855</v>
      </c>
      <c r="AO263" s="8">
        <v>21095</v>
      </c>
      <c r="AP263" s="8">
        <v>17631</v>
      </c>
      <c r="AQ263" s="8">
        <v>20297</v>
      </c>
      <c r="AR263" s="8">
        <v>25949</v>
      </c>
      <c r="AS263" s="8">
        <v>10526</v>
      </c>
      <c r="AT263" s="8">
        <v>13972</v>
      </c>
      <c r="AU263" s="8">
        <v>32821</v>
      </c>
      <c r="AV263" s="8">
        <v>34814</v>
      </c>
      <c r="AW263" s="8">
        <v>30710</v>
      </c>
      <c r="AX263" s="8">
        <v>36543</v>
      </c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</row>
    <row r="264" spans="3:63" x14ac:dyDescent="0.2">
      <c r="C264" s="10" t="s">
        <v>51</v>
      </c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>
        <f>101+470</f>
        <v>571</v>
      </c>
      <c r="Q264" s="8">
        <v>0</v>
      </c>
      <c r="R264" s="28">
        <v>0</v>
      </c>
      <c r="T264" s="28">
        <v>0</v>
      </c>
      <c r="U264" s="28">
        <v>0</v>
      </c>
      <c r="V264" s="28">
        <v>0</v>
      </c>
      <c r="W264" s="28">
        <v>0</v>
      </c>
      <c r="X264" s="28">
        <v>0</v>
      </c>
      <c r="Y264" s="8">
        <v>0</v>
      </c>
      <c r="Z264" s="8">
        <v>0</v>
      </c>
      <c r="AA264" s="8">
        <v>0</v>
      </c>
      <c r="AB264" s="28">
        <v>0</v>
      </c>
      <c r="AC264" s="8">
        <v>0</v>
      </c>
      <c r="AD264" s="8">
        <v>0</v>
      </c>
      <c r="AE264" s="8">
        <v>0</v>
      </c>
      <c r="AF264" s="8">
        <v>0</v>
      </c>
      <c r="AG264" s="8">
        <v>0</v>
      </c>
      <c r="AH264" s="8">
        <v>0</v>
      </c>
      <c r="AI264" s="8">
        <v>0</v>
      </c>
      <c r="AJ264" s="8">
        <v>0</v>
      </c>
      <c r="AK264" s="8">
        <v>0</v>
      </c>
      <c r="AL264" s="8">
        <v>6354</v>
      </c>
      <c r="AM264" s="8">
        <v>3034</v>
      </c>
      <c r="AN264" s="8">
        <v>3363</v>
      </c>
      <c r="AO264" s="8">
        <v>0</v>
      </c>
      <c r="AP264" s="8">
        <v>0</v>
      </c>
      <c r="AQ264" s="8">
        <v>0</v>
      </c>
      <c r="AR264" s="8">
        <v>0</v>
      </c>
      <c r="AS264" s="8">
        <v>29753</v>
      </c>
      <c r="AT264" s="8">
        <v>27077</v>
      </c>
      <c r="AU264" s="8">
        <v>44137</v>
      </c>
      <c r="AV264" s="8">
        <v>941</v>
      </c>
      <c r="AW264" s="8">
        <v>4085</v>
      </c>
      <c r="AX264" s="8">
        <v>0</v>
      </c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</row>
    <row r="265" spans="3:63" x14ac:dyDescent="0.2">
      <c r="C265" s="9" t="s">
        <v>305</v>
      </c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28"/>
      <c r="T265" s="28"/>
      <c r="U265" s="28"/>
      <c r="V265" s="28"/>
      <c r="W265" s="28"/>
      <c r="X265" s="28"/>
      <c r="Y265" s="8"/>
      <c r="Z265" s="8"/>
      <c r="AA265" s="8"/>
      <c r="AB265" s="2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</row>
    <row r="266" spans="3:63" x14ac:dyDescent="0.2">
      <c r="C266" s="27" t="s">
        <v>50</v>
      </c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T266" s="28">
        <v>0</v>
      </c>
      <c r="U266" s="28">
        <v>0</v>
      </c>
      <c r="V266" s="28">
        <v>252</v>
      </c>
      <c r="W266" s="28">
        <v>319</v>
      </c>
      <c r="X266" s="8">
        <v>99</v>
      </c>
      <c r="Y266" s="8">
        <v>115</v>
      </c>
      <c r="Z266" s="8">
        <v>128</v>
      </c>
      <c r="AA266" s="8">
        <v>121</v>
      </c>
      <c r="AB266" s="8">
        <v>2265</v>
      </c>
      <c r="AC266" s="8">
        <v>4258</v>
      </c>
      <c r="AD266" s="8">
        <v>4272</v>
      </c>
      <c r="AE266" s="8">
        <v>4954</v>
      </c>
      <c r="AF266" s="8">
        <v>4692</v>
      </c>
      <c r="AG266" s="8">
        <v>4523</v>
      </c>
      <c r="AH266" s="8">
        <v>4191</v>
      </c>
      <c r="AI266" s="8">
        <v>4160</v>
      </c>
      <c r="AJ266" s="8">
        <v>689</v>
      </c>
      <c r="AK266" s="8">
        <v>4580</v>
      </c>
      <c r="AL266" s="8">
        <v>8190</v>
      </c>
      <c r="AM266" s="8">
        <v>15686</v>
      </c>
      <c r="AN266" s="8">
        <v>23505</v>
      </c>
      <c r="AO266" s="8">
        <v>39732</v>
      </c>
      <c r="AP266" s="8">
        <v>29468</v>
      </c>
      <c r="AQ266" s="8">
        <v>26373</v>
      </c>
      <c r="AR266" s="8">
        <v>22675</v>
      </c>
      <c r="AS266" s="8">
        <v>6262</v>
      </c>
      <c r="AT266" s="8">
        <v>5827</v>
      </c>
      <c r="AU266" s="8">
        <v>4832</v>
      </c>
      <c r="AV266" s="8">
        <v>11160</v>
      </c>
      <c r="AW266" s="8">
        <v>12189</v>
      </c>
      <c r="AX266" s="8">
        <v>22801</v>
      </c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</row>
    <row r="267" spans="3:63" x14ac:dyDescent="0.2">
      <c r="C267" s="27" t="s">
        <v>51</v>
      </c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28"/>
      <c r="S267" s="30"/>
      <c r="T267" s="28">
        <v>0</v>
      </c>
      <c r="U267" s="28">
        <v>0</v>
      </c>
      <c r="V267" s="28">
        <v>2</v>
      </c>
      <c r="W267" s="28">
        <v>0</v>
      </c>
      <c r="X267" s="28">
        <v>1</v>
      </c>
      <c r="Y267" s="28">
        <v>0</v>
      </c>
      <c r="Z267" s="28">
        <v>0</v>
      </c>
      <c r="AA267" s="28">
        <v>0</v>
      </c>
      <c r="AB267" s="28">
        <v>0</v>
      </c>
      <c r="AC267" s="28">
        <v>481</v>
      </c>
      <c r="AD267" s="28">
        <v>74</v>
      </c>
      <c r="AE267" s="28">
        <v>4</v>
      </c>
      <c r="AF267" s="28">
        <v>7</v>
      </c>
      <c r="AG267" s="28">
        <v>0</v>
      </c>
      <c r="AH267" s="28">
        <v>1</v>
      </c>
      <c r="AI267" s="28">
        <v>0</v>
      </c>
      <c r="AJ267" s="28">
        <v>2906</v>
      </c>
      <c r="AK267" s="28">
        <v>0</v>
      </c>
      <c r="AL267" s="28">
        <v>19295</v>
      </c>
      <c r="AM267" s="28">
        <v>10929</v>
      </c>
      <c r="AN267" s="28">
        <v>6574</v>
      </c>
      <c r="AO267" s="28">
        <v>0</v>
      </c>
      <c r="AP267" s="28">
        <v>1</v>
      </c>
      <c r="AQ267" s="28">
        <v>1</v>
      </c>
      <c r="AR267" s="28">
        <v>1</v>
      </c>
      <c r="AS267" s="28">
        <v>22128</v>
      </c>
      <c r="AT267" s="28">
        <v>23837</v>
      </c>
      <c r="AU267" s="28">
        <v>26803</v>
      </c>
      <c r="AV267" s="28">
        <v>15469</v>
      </c>
      <c r="AW267" s="28">
        <v>16079</v>
      </c>
      <c r="AX267" s="28">
        <v>5792</v>
      </c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</row>
    <row r="268" spans="3:63" x14ac:dyDescent="0.2">
      <c r="C268" s="9" t="s">
        <v>232</v>
      </c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28"/>
      <c r="S268" s="30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</row>
    <row r="269" spans="3:63" x14ac:dyDescent="0.2">
      <c r="C269" s="27" t="s">
        <v>50</v>
      </c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28"/>
      <c r="S269" s="30"/>
      <c r="T269" s="28"/>
      <c r="U269" s="28"/>
      <c r="V269" s="28"/>
      <c r="W269" s="28"/>
      <c r="X269" s="28">
        <v>537</v>
      </c>
      <c r="Y269" s="28"/>
      <c r="Z269" s="28">
        <v>526</v>
      </c>
      <c r="AA269" s="28">
        <v>1305</v>
      </c>
      <c r="AB269" s="28">
        <v>1122</v>
      </c>
      <c r="AC269" s="28">
        <v>36</v>
      </c>
      <c r="AD269" s="28">
        <v>2973</v>
      </c>
      <c r="AE269" s="28">
        <v>3488</v>
      </c>
      <c r="AF269" s="28">
        <v>1225</v>
      </c>
      <c r="AG269" s="28">
        <v>1378</v>
      </c>
      <c r="AH269" s="28">
        <v>1134</v>
      </c>
      <c r="AI269" s="28">
        <v>1359</v>
      </c>
      <c r="AJ269" s="28">
        <v>561</v>
      </c>
      <c r="AK269" s="28">
        <v>581</v>
      </c>
      <c r="AL269" s="28">
        <v>374</v>
      </c>
      <c r="AM269" s="28">
        <v>356</v>
      </c>
      <c r="AN269" s="28">
        <v>597</v>
      </c>
      <c r="AO269" s="28">
        <v>668</v>
      </c>
      <c r="AP269" s="28">
        <v>882</v>
      </c>
      <c r="AQ269" s="28">
        <v>873</v>
      </c>
      <c r="AR269" s="28">
        <v>1105</v>
      </c>
      <c r="AS269" s="28">
        <v>1483</v>
      </c>
      <c r="AT269" s="28">
        <v>1500</v>
      </c>
      <c r="AU269" s="28">
        <v>1697</v>
      </c>
      <c r="AV269" s="28">
        <v>2329</v>
      </c>
      <c r="AW269" s="28">
        <v>289</v>
      </c>
      <c r="AX269" s="28">
        <v>303</v>
      </c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</row>
    <row r="270" spans="3:63" x14ac:dyDescent="0.2">
      <c r="C270" s="27" t="s">
        <v>51</v>
      </c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28"/>
      <c r="S270" s="30"/>
      <c r="T270" s="28"/>
      <c r="U270" s="28"/>
      <c r="V270" s="28"/>
      <c r="W270" s="28"/>
      <c r="X270" s="28">
        <v>0</v>
      </c>
      <c r="Y270" s="28"/>
      <c r="Z270" s="28">
        <v>0</v>
      </c>
      <c r="AA270" s="28">
        <v>0</v>
      </c>
      <c r="AB270" s="28">
        <v>230</v>
      </c>
      <c r="AC270" s="28">
        <v>2</v>
      </c>
      <c r="AD270" s="28">
        <v>597</v>
      </c>
      <c r="AE270" s="28">
        <v>0</v>
      </c>
      <c r="AF270" s="28">
        <v>0</v>
      </c>
      <c r="AG270" s="28">
        <v>0</v>
      </c>
      <c r="AH270" s="28">
        <v>0</v>
      </c>
      <c r="AI270" s="28">
        <v>0</v>
      </c>
      <c r="AJ270" s="28">
        <v>891</v>
      </c>
      <c r="AK270" s="28">
        <v>0</v>
      </c>
      <c r="AL270" s="28">
        <v>0</v>
      </c>
      <c r="AM270" s="28">
        <v>0</v>
      </c>
      <c r="AN270" s="28">
        <v>0</v>
      </c>
      <c r="AO270" s="28">
        <v>0</v>
      </c>
      <c r="AP270" s="28">
        <v>0</v>
      </c>
      <c r="AQ270" s="28">
        <v>0</v>
      </c>
      <c r="AR270" s="28">
        <v>0</v>
      </c>
      <c r="AS270" s="28">
        <v>0</v>
      </c>
      <c r="AT270" s="28">
        <v>0</v>
      </c>
      <c r="AU270" s="28">
        <v>0</v>
      </c>
      <c r="AV270" s="28">
        <v>0</v>
      </c>
      <c r="AW270" s="28">
        <v>0</v>
      </c>
      <c r="AX270" s="28">
        <v>0</v>
      </c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</row>
    <row r="271" spans="3:63" x14ac:dyDescent="0.2">
      <c r="C271" s="9" t="s">
        <v>307</v>
      </c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8"/>
      <c r="S271" s="30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</row>
    <row r="272" spans="3:63" x14ac:dyDescent="0.2">
      <c r="C272" s="27" t="s">
        <v>50</v>
      </c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28"/>
      <c r="S272" s="30"/>
      <c r="T272" s="28"/>
      <c r="U272" s="28"/>
      <c r="V272" s="28"/>
      <c r="W272" s="28"/>
      <c r="X272" s="28">
        <v>3049</v>
      </c>
      <c r="Y272" s="28"/>
      <c r="Z272" s="28">
        <v>349</v>
      </c>
      <c r="AA272" s="28">
        <v>389</v>
      </c>
      <c r="AB272" s="28">
        <v>388</v>
      </c>
      <c r="AC272" s="28">
        <v>2180</v>
      </c>
      <c r="AD272" s="28">
        <v>2418</v>
      </c>
      <c r="AE272" s="28">
        <v>1865</v>
      </c>
      <c r="AF272" s="28">
        <v>2586</v>
      </c>
      <c r="AG272" s="28">
        <v>1669</v>
      </c>
      <c r="AH272" s="28">
        <v>1612</v>
      </c>
      <c r="AI272" s="28">
        <v>1637</v>
      </c>
      <c r="AJ272" s="28">
        <v>1603</v>
      </c>
      <c r="AK272" s="28">
        <v>9011</v>
      </c>
      <c r="AL272" s="28">
        <v>5544</v>
      </c>
      <c r="AM272" s="28">
        <v>3783</v>
      </c>
      <c r="AN272" s="28">
        <v>4387</v>
      </c>
      <c r="AO272" s="28">
        <v>4709</v>
      </c>
      <c r="AP272" s="28">
        <v>5382</v>
      </c>
      <c r="AQ272" s="28">
        <v>0</v>
      </c>
      <c r="AR272" s="28">
        <v>91</v>
      </c>
      <c r="AS272" s="28">
        <v>4057</v>
      </c>
      <c r="AT272" s="28">
        <v>2011</v>
      </c>
      <c r="AU272" s="28">
        <v>0</v>
      </c>
      <c r="AV272" s="28">
        <v>11862</v>
      </c>
      <c r="AW272" s="28">
        <v>0</v>
      </c>
      <c r="AX272" s="28">
        <v>0</v>
      </c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</row>
    <row r="273" spans="2:63" x14ac:dyDescent="0.2">
      <c r="C273" s="27" t="s">
        <v>51</v>
      </c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28"/>
      <c r="S273" s="30"/>
      <c r="T273" s="28"/>
      <c r="U273" s="28"/>
      <c r="V273" s="28"/>
      <c r="W273" s="28"/>
      <c r="X273" s="28">
        <v>0</v>
      </c>
      <c r="Y273" s="28"/>
      <c r="Z273" s="28">
        <v>0</v>
      </c>
      <c r="AA273" s="28">
        <v>0</v>
      </c>
      <c r="AB273" s="28">
        <v>0</v>
      </c>
      <c r="AC273" s="28">
        <v>956</v>
      </c>
      <c r="AD273" s="28">
        <v>0</v>
      </c>
      <c r="AE273" s="28">
        <v>928</v>
      </c>
      <c r="AF273" s="28">
        <v>0</v>
      </c>
      <c r="AG273" s="28">
        <v>0</v>
      </c>
      <c r="AH273" s="28">
        <v>0</v>
      </c>
      <c r="AI273" s="28">
        <v>0</v>
      </c>
      <c r="AJ273" s="28">
        <v>0</v>
      </c>
      <c r="AK273" s="28">
        <v>0</v>
      </c>
      <c r="AL273" s="28">
        <v>0</v>
      </c>
      <c r="AM273" s="28">
        <v>0</v>
      </c>
      <c r="AN273" s="28">
        <v>0</v>
      </c>
      <c r="AO273" s="28">
        <v>0</v>
      </c>
      <c r="AP273" s="28">
        <v>0</v>
      </c>
      <c r="AQ273" s="28">
        <v>0</v>
      </c>
      <c r="AR273" s="28">
        <v>0</v>
      </c>
      <c r="AS273" s="28">
        <v>0</v>
      </c>
      <c r="AT273" s="28">
        <v>4901</v>
      </c>
      <c r="AU273" s="28">
        <v>4906</v>
      </c>
      <c r="AV273" s="28">
        <v>0</v>
      </c>
      <c r="AW273" s="28">
        <v>0</v>
      </c>
      <c r="AX273" s="28">
        <v>0</v>
      </c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</row>
    <row r="274" spans="2:63" x14ac:dyDescent="0.2">
      <c r="C274" s="9" t="s">
        <v>233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28"/>
      <c r="S274" s="30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</row>
    <row r="275" spans="2:63" x14ac:dyDescent="0.2">
      <c r="C275" s="27" t="s">
        <v>50</v>
      </c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28"/>
      <c r="S275" s="30"/>
      <c r="T275" s="28"/>
      <c r="U275" s="28"/>
      <c r="V275" s="28"/>
      <c r="W275" s="28"/>
      <c r="X275" s="28">
        <v>53</v>
      </c>
      <c r="Y275" s="28"/>
      <c r="Z275" s="28">
        <v>2</v>
      </c>
      <c r="AA275" s="28">
        <v>0</v>
      </c>
      <c r="AB275" s="28">
        <v>1</v>
      </c>
      <c r="AC275" s="28">
        <v>0</v>
      </c>
      <c r="AD275" s="28">
        <v>14833</v>
      </c>
      <c r="AE275" s="28">
        <v>5634</v>
      </c>
      <c r="AF275" s="28">
        <v>53</v>
      </c>
      <c r="AG275" s="28">
        <v>52</v>
      </c>
      <c r="AH275" s="28">
        <v>59</v>
      </c>
      <c r="AI275" s="28">
        <v>190</v>
      </c>
      <c r="AJ275" s="28">
        <v>627</v>
      </c>
      <c r="AK275" s="28">
        <v>1786</v>
      </c>
      <c r="AL275" s="28">
        <v>671</v>
      </c>
      <c r="AM275" s="28">
        <v>563</v>
      </c>
      <c r="AN275" s="28">
        <v>581</v>
      </c>
      <c r="AO275" s="28">
        <v>2847</v>
      </c>
      <c r="AP275" s="28">
        <v>6984</v>
      </c>
      <c r="AQ275" s="28">
        <v>8526</v>
      </c>
      <c r="AR275" s="28">
        <v>12877</v>
      </c>
      <c r="AS275" s="28">
        <v>21084</v>
      </c>
      <c r="AT275" s="28">
        <v>15740</v>
      </c>
      <c r="AU275" s="28">
        <v>16319</v>
      </c>
      <c r="AV275" s="28">
        <v>13653</v>
      </c>
      <c r="AW275" s="28">
        <v>13989</v>
      </c>
      <c r="AX275" s="28">
        <v>19230</v>
      </c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</row>
    <row r="276" spans="2:63" x14ac:dyDescent="0.2">
      <c r="C276" s="27" t="s">
        <v>51</v>
      </c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28"/>
      <c r="S276" s="30"/>
      <c r="T276" s="28"/>
      <c r="U276" s="28"/>
      <c r="V276" s="28"/>
      <c r="W276" s="28"/>
      <c r="X276" s="28">
        <v>0</v>
      </c>
      <c r="Y276" s="28"/>
      <c r="Z276" s="28">
        <v>0</v>
      </c>
      <c r="AA276" s="28">
        <v>0</v>
      </c>
      <c r="AB276" s="28">
        <v>0</v>
      </c>
      <c r="AC276" s="28">
        <v>0</v>
      </c>
      <c r="AD276" s="28">
        <v>42939</v>
      </c>
      <c r="AE276" s="28">
        <v>0</v>
      </c>
      <c r="AF276" s="28">
        <v>0</v>
      </c>
      <c r="AG276" s="28">
        <v>0</v>
      </c>
      <c r="AH276" s="28">
        <v>0</v>
      </c>
      <c r="AI276" s="28">
        <v>0</v>
      </c>
      <c r="AJ276" s="28">
        <v>0</v>
      </c>
      <c r="AK276" s="28">
        <v>0</v>
      </c>
      <c r="AL276" s="28">
        <v>0</v>
      </c>
      <c r="AM276" s="28">
        <v>0</v>
      </c>
      <c r="AN276" s="28">
        <v>0</v>
      </c>
      <c r="AO276" s="28">
        <v>0</v>
      </c>
      <c r="AP276" s="28">
        <v>0</v>
      </c>
      <c r="AQ276" s="28">
        <v>0</v>
      </c>
      <c r="AR276" s="28">
        <v>0</v>
      </c>
      <c r="AS276" s="28">
        <v>2944</v>
      </c>
      <c r="AT276" s="28">
        <v>757</v>
      </c>
      <c r="AU276" s="28">
        <v>0</v>
      </c>
      <c r="AV276" s="28">
        <v>0</v>
      </c>
      <c r="AW276" s="28">
        <v>0</v>
      </c>
      <c r="AX276" s="28">
        <v>0</v>
      </c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</row>
    <row r="277" spans="2:63" x14ac:dyDescent="0.2">
      <c r="C277" s="9" t="s">
        <v>418</v>
      </c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28"/>
      <c r="S277" s="30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</row>
    <row r="278" spans="2:63" x14ac:dyDescent="0.2">
      <c r="C278" s="27" t="s">
        <v>50</v>
      </c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28"/>
      <c r="S278" s="30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>
        <v>30</v>
      </c>
      <c r="AL278" s="28">
        <v>18</v>
      </c>
      <c r="AM278" s="28">
        <v>18</v>
      </c>
      <c r="AN278" s="28">
        <v>29</v>
      </c>
      <c r="AO278" s="28">
        <v>10</v>
      </c>
      <c r="AP278" s="28">
        <v>11</v>
      </c>
      <c r="AQ278" s="28">
        <v>9</v>
      </c>
      <c r="AR278" s="28">
        <v>10</v>
      </c>
      <c r="AS278" s="28">
        <v>9</v>
      </c>
      <c r="AT278" s="28">
        <v>8</v>
      </c>
      <c r="AU278" s="28">
        <v>0</v>
      </c>
      <c r="AV278" s="28">
        <v>8</v>
      </c>
      <c r="AW278" s="28">
        <v>1</v>
      </c>
      <c r="AX278" s="28">
        <v>1</v>
      </c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</row>
    <row r="279" spans="2:63" x14ac:dyDescent="0.2">
      <c r="C279" s="27" t="s">
        <v>51</v>
      </c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28"/>
      <c r="S279" s="30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>
        <v>0</v>
      </c>
      <c r="AL279" s="28">
        <v>0</v>
      </c>
      <c r="AM279" s="28">
        <v>0</v>
      </c>
      <c r="AN279" s="28">
        <v>0</v>
      </c>
      <c r="AO279" s="28">
        <v>0</v>
      </c>
      <c r="AP279" s="28">
        <v>0</v>
      </c>
      <c r="AQ279" s="28">
        <v>0</v>
      </c>
      <c r="AR279" s="28">
        <v>0</v>
      </c>
      <c r="AS279" s="28">
        <v>0</v>
      </c>
      <c r="AT279" s="28">
        <v>0</v>
      </c>
      <c r="AU279" s="28">
        <v>0</v>
      </c>
      <c r="AV279" s="28">
        <v>0</v>
      </c>
      <c r="AW279" s="28">
        <v>0</v>
      </c>
      <c r="AX279" s="28">
        <v>0</v>
      </c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</row>
    <row r="280" spans="2:63" x14ac:dyDescent="0.2">
      <c r="C280" s="9" t="s">
        <v>204</v>
      </c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</row>
    <row r="281" spans="2:63" x14ac:dyDescent="0.2">
      <c r="C281" s="27" t="s">
        <v>203</v>
      </c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28">
        <v>4888</v>
      </c>
      <c r="T281" s="28">
        <v>3074</v>
      </c>
      <c r="U281" s="28">
        <v>3074</v>
      </c>
      <c r="V281" s="28"/>
      <c r="W281" s="28"/>
      <c r="X281" s="28">
        <v>0</v>
      </c>
      <c r="Y281" s="28">
        <v>0</v>
      </c>
      <c r="Z281" s="28">
        <v>0</v>
      </c>
      <c r="AA281" s="28">
        <v>0</v>
      </c>
      <c r="AB281" s="28">
        <v>0</v>
      </c>
      <c r="AC281" s="28">
        <v>0</v>
      </c>
      <c r="AD281" s="28">
        <v>0</v>
      </c>
      <c r="AE281" s="28">
        <v>0</v>
      </c>
      <c r="AF281" s="28">
        <v>0</v>
      </c>
      <c r="AG281" s="28">
        <v>0</v>
      </c>
      <c r="AH281" s="28">
        <v>0</v>
      </c>
      <c r="AI281" s="28">
        <v>0</v>
      </c>
      <c r="AJ281" s="28">
        <v>0</v>
      </c>
      <c r="AK281" s="28">
        <v>0</v>
      </c>
      <c r="AL281" s="28">
        <v>0</v>
      </c>
      <c r="AM281" s="28">
        <v>0</v>
      </c>
      <c r="AN281" s="28">
        <v>0</v>
      </c>
      <c r="AO281" s="28">
        <v>0</v>
      </c>
      <c r="AP281" s="28">
        <v>0</v>
      </c>
      <c r="AQ281" s="28">
        <v>0</v>
      </c>
      <c r="AR281" s="28">
        <v>0</v>
      </c>
      <c r="AS281" s="28">
        <v>0</v>
      </c>
      <c r="AT281" s="28">
        <v>0</v>
      </c>
      <c r="AU281" s="28">
        <v>0</v>
      </c>
      <c r="AV281" s="28">
        <v>0</v>
      </c>
      <c r="AW281" s="28">
        <v>0</v>
      </c>
      <c r="AX281" s="28">
        <v>0</v>
      </c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</row>
    <row r="282" spans="2:63" x14ac:dyDescent="0.2">
      <c r="C282" s="27" t="s">
        <v>438</v>
      </c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28">
        <v>1111</v>
      </c>
      <c r="T282" s="28">
        <v>111</v>
      </c>
      <c r="U282" s="28">
        <v>111</v>
      </c>
      <c r="V282" s="28">
        <v>111</v>
      </c>
      <c r="W282" s="28"/>
      <c r="X282" s="28">
        <v>111</v>
      </c>
      <c r="Y282" s="28">
        <v>111</v>
      </c>
      <c r="Z282" s="28">
        <v>111</v>
      </c>
      <c r="AA282" s="28">
        <v>491</v>
      </c>
      <c r="AB282" s="28">
        <v>491</v>
      </c>
      <c r="AC282" s="28">
        <v>658</v>
      </c>
      <c r="AD282" s="28">
        <v>491</v>
      </c>
      <c r="AE282" s="28">
        <v>491</v>
      </c>
      <c r="AF282" s="28">
        <v>634</v>
      </c>
      <c r="AG282" s="28">
        <v>634</v>
      </c>
      <c r="AH282" s="28">
        <v>2121</v>
      </c>
      <c r="AI282" s="28">
        <v>12423</v>
      </c>
      <c r="AJ282" s="28">
        <v>11696</v>
      </c>
      <c r="AK282" s="28">
        <v>4751</v>
      </c>
      <c r="AL282" s="28">
        <v>2175</v>
      </c>
      <c r="AM282" s="28">
        <v>1477</v>
      </c>
      <c r="AN282" s="28">
        <v>1353</v>
      </c>
      <c r="AO282" s="28">
        <v>1982</v>
      </c>
      <c r="AP282" s="28">
        <v>1181</v>
      </c>
      <c r="AQ282" s="28">
        <v>929</v>
      </c>
      <c r="AR282" s="28">
        <v>628</v>
      </c>
      <c r="AS282" s="28">
        <v>816</v>
      </c>
      <c r="AT282" s="28">
        <v>1379</v>
      </c>
      <c r="AU282" s="28">
        <v>1779</v>
      </c>
      <c r="AV282" s="28">
        <v>1348</v>
      </c>
      <c r="AW282" s="28">
        <v>1464</v>
      </c>
      <c r="AX282" s="28">
        <v>1601</v>
      </c>
      <c r="AY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</row>
    <row r="283" spans="2:63" x14ac:dyDescent="0.2">
      <c r="C283" s="27" t="s">
        <v>439</v>
      </c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>
        <v>459</v>
      </c>
      <c r="AO283" s="285"/>
      <c r="AP283" s="28">
        <v>652</v>
      </c>
      <c r="AQ283" s="28">
        <v>221</v>
      </c>
      <c r="AR283" s="28">
        <v>0</v>
      </c>
      <c r="AS283" s="28">
        <v>0</v>
      </c>
      <c r="AT283" s="28">
        <v>0</v>
      </c>
      <c r="AU283" s="28">
        <v>0</v>
      </c>
      <c r="AV283" s="28">
        <v>0</v>
      </c>
      <c r="AW283" s="28">
        <v>0</v>
      </c>
      <c r="AX283" s="28">
        <v>0</v>
      </c>
      <c r="AY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</row>
    <row r="284" spans="2:63" x14ac:dyDescent="0.2">
      <c r="C284" s="27" t="s">
        <v>202</v>
      </c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28">
        <v>1087</v>
      </c>
      <c r="S284" s="30"/>
      <c r="T284" s="28">
        <v>750</v>
      </c>
      <c r="U284" s="28">
        <v>580</v>
      </c>
      <c r="V284" s="28">
        <v>580</v>
      </c>
      <c r="W284" s="28"/>
      <c r="X284" s="28">
        <v>580</v>
      </c>
      <c r="Y284" s="28">
        <v>580</v>
      </c>
      <c r="Z284" s="28">
        <v>580</v>
      </c>
      <c r="AA284" s="28">
        <v>530</v>
      </c>
      <c r="AB284" s="28">
        <v>530</v>
      </c>
      <c r="AC284" s="28">
        <v>530</v>
      </c>
      <c r="AD284" s="28">
        <v>130</v>
      </c>
      <c r="AE284" s="28">
        <v>130</v>
      </c>
      <c r="AF284" s="28">
        <v>0</v>
      </c>
      <c r="AG284" s="28">
        <v>0</v>
      </c>
      <c r="AH284" s="28">
        <v>0</v>
      </c>
      <c r="AI284" s="28">
        <v>0</v>
      </c>
      <c r="AJ284" s="28">
        <v>0</v>
      </c>
      <c r="AK284" s="28">
        <v>0</v>
      </c>
      <c r="AL284" s="28">
        <v>0</v>
      </c>
      <c r="AM284" s="28">
        <v>0</v>
      </c>
      <c r="AN284" s="28">
        <v>0</v>
      </c>
      <c r="AO284" s="28">
        <v>0</v>
      </c>
      <c r="AP284" s="28">
        <v>0</v>
      </c>
      <c r="AQ284" s="28">
        <v>0</v>
      </c>
      <c r="AR284" s="28">
        <v>0</v>
      </c>
      <c r="AS284" s="28">
        <v>0</v>
      </c>
      <c r="AT284" s="28">
        <v>0</v>
      </c>
      <c r="AU284" s="28">
        <v>0</v>
      </c>
      <c r="AV284" s="28">
        <v>0</v>
      </c>
      <c r="AW284" s="28">
        <v>0</v>
      </c>
      <c r="AX284" s="28">
        <v>0</v>
      </c>
      <c r="AY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</row>
    <row r="285" spans="2:63" x14ac:dyDescent="0.2">
      <c r="C285" s="9" t="s">
        <v>308</v>
      </c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28"/>
      <c r="S285" s="30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Z285" s="4" t="s">
        <v>296</v>
      </c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</row>
    <row r="286" spans="2:63" x14ac:dyDescent="0.2">
      <c r="C286" s="27" t="s">
        <v>50</v>
      </c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28"/>
      <c r="S286" s="30"/>
      <c r="T286" s="28"/>
      <c r="U286" s="28"/>
      <c r="V286" s="28"/>
      <c r="W286" s="28"/>
      <c r="X286" s="28"/>
      <c r="Y286" s="28"/>
      <c r="Z286" s="28"/>
      <c r="AA286" s="28"/>
      <c r="AB286" s="28">
        <v>76208</v>
      </c>
      <c r="AC286" s="28">
        <v>2</v>
      </c>
      <c r="AD286" s="28">
        <v>10826</v>
      </c>
      <c r="AE286" s="28">
        <v>11</v>
      </c>
      <c r="AF286" s="28">
        <v>87903</v>
      </c>
      <c r="AG286" s="28">
        <v>76943</v>
      </c>
      <c r="AH286" s="28">
        <v>68704</v>
      </c>
      <c r="AI286" s="28">
        <v>62063</v>
      </c>
      <c r="AJ286" s="28">
        <v>55908</v>
      </c>
      <c r="AK286" s="28">
        <v>48742</v>
      </c>
      <c r="AL286" s="28">
        <v>50538</v>
      </c>
      <c r="AM286" s="28">
        <v>35251</v>
      </c>
      <c r="AN286" s="28">
        <v>45060</v>
      </c>
      <c r="AO286" s="28">
        <v>41942</v>
      </c>
      <c r="AP286" s="28">
        <v>39564</v>
      </c>
      <c r="AQ286" s="28">
        <v>37574</v>
      </c>
      <c r="AR286" s="28">
        <v>34568</v>
      </c>
      <c r="AS286" s="28">
        <v>32718</v>
      </c>
      <c r="AT286" s="28">
        <v>29108</v>
      </c>
      <c r="AU286" s="28">
        <v>26425</v>
      </c>
      <c r="AV286" s="28">
        <v>24637</v>
      </c>
      <c r="AW286" s="28">
        <v>23370</v>
      </c>
      <c r="AX286" s="28">
        <v>22793</v>
      </c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</row>
    <row r="287" spans="2:63" s="30" customFormat="1" x14ac:dyDescent="0.2">
      <c r="B287" s="43"/>
      <c r="C287" s="163" t="s">
        <v>51</v>
      </c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T287" s="28"/>
      <c r="U287" s="28"/>
      <c r="V287" s="28"/>
      <c r="W287" s="28"/>
      <c r="X287" s="28"/>
      <c r="Y287" s="28"/>
      <c r="Z287" s="28"/>
      <c r="AA287" s="28"/>
      <c r="AB287" s="28">
        <v>36218</v>
      </c>
      <c r="AC287" s="28">
        <v>102850</v>
      </c>
      <c r="AD287" s="28">
        <v>93465</v>
      </c>
      <c r="AE287" s="28">
        <v>94519</v>
      </c>
      <c r="AF287" s="28">
        <v>0</v>
      </c>
      <c r="AG287" s="28">
        <v>0</v>
      </c>
      <c r="AH287" s="28">
        <v>3957</v>
      </c>
      <c r="AI287" s="28">
        <v>0</v>
      </c>
      <c r="AJ287" s="28">
        <v>0</v>
      </c>
      <c r="AK287" s="28">
        <v>0</v>
      </c>
      <c r="AL287" s="28">
        <v>0</v>
      </c>
      <c r="AM287" s="28">
        <v>0</v>
      </c>
      <c r="AN287" s="28">
        <v>0</v>
      </c>
      <c r="AO287" s="28">
        <v>0</v>
      </c>
      <c r="AP287" s="28">
        <v>0</v>
      </c>
      <c r="AQ287" s="28">
        <v>0</v>
      </c>
      <c r="AR287" s="28">
        <v>0</v>
      </c>
      <c r="AS287" s="28">
        <v>0</v>
      </c>
      <c r="AT287" s="28">
        <v>0</v>
      </c>
      <c r="AU287" s="28">
        <v>0</v>
      </c>
      <c r="AV287" s="28">
        <v>0</v>
      </c>
      <c r="AW287" s="28">
        <v>0</v>
      </c>
      <c r="AX287" s="28">
        <v>0</v>
      </c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</row>
    <row r="288" spans="2:63" x14ac:dyDescent="0.2">
      <c r="C288" s="9" t="s">
        <v>306</v>
      </c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28"/>
      <c r="S288" s="30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Z288" s="4" t="s">
        <v>296</v>
      </c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</row>
    <row r="289" spans="1:63" x14ac:dyDescent="0.2">
      <c r="C289" s="163" t="s">
        <v>50</v>
      </c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30"/>
      <c r="T289" s="28"/>
      <c r="U289" s="28"/>
      <c r="V289" s="28"/>
      <c r="W289" s="28"/>
      <c r="X289" s="28"/>
      <c r="Y289" s="28"/>
      <c r="Z289" s="28"/>
      <c r="AA289" s="28"/>
      <c r="AB289" s="28"/>
      <c r="AC289" s="28">
        <v>1585</v>
      </c>
      <c r="AD289" s="28">
        <v>835</v>
      </c>
      <c r="AE289" s="28">
        <v>42680</v>
      </c>
      <c r="AF289" s="28">
        <v>62297</v>
      </c>
      <c r="AG289" s="28">
        <v>80230</v>
      </c>
      <c r="AH289" s="28">
        <v>93324</v>
      </c>
      <c r="AI289" s="28">
        <v>85664</v>
      </c>
      <c r="AJ289" s="28">
        <v>71544</v>
      </c>
      <c r="AK289" s="28">
        <v>56827</v>
      </c>
      <c r="AL289" s="28">
        <v>67640</v>
      </c>
      <c r="AM289" s="28">
        <v>47900</v>
      </c>
      <c r="AN289" s="28">
        <v>60231</v>
      </c>
      <c r="AO289" s="28">
        <v>44600</v>
      </c>
      <c r="AP289" s="28">
        <v>35903</v>
      </c>
      <c r="AQ289" s="28">
        <v>35130</v>
      </c>
      <c r="AR289" s="28">
        <v>34451</v>
      </c>
      <c r="AS289" s="28">
        <v>32554</v>
      </c>
      <c r="AT289" s="28">
        <v>29674</v>
      </c>
      <c r="AU289" s="28">
        <v>29039</v>
      </c>
      <c r="AV289" s="28">
        <v>29298</v>
      </c>
      <c r="AW289" s="28">
        <v>29720</v>
      </c>
      <c r="AX289" s="28">
        <v>31187</v>
      </c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</row>
    <row r="290" spans="1:63" x14ac:dyDescent="0.2">
      <c r="A290" s="30"/>
      <c r="B290" s="43"/>
      <c r="C290" s="163" t="s">
        <v>51</v>
      </c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30"/>
      <c r="T290" s="28"/>
      <c r="U290" s="28"/>
      <c r="V290" s="28"/>
      <c r="W290" s="28"/>
      <c r="X290" s="28"/>
      <c r="Y290" s="28"/>
      <c r="Z290" s="28"/>
      <c r="AA290" s="28"/>
      <c r="AB290" s="28"/>
      <c r="AC290" s="28">
        <v>0</v>
      </c>
      <c r="AD290" s="28">
        <v>0</v>
      </c>
      <c r="AE290" s="28">
        <v>14611</v>
      </c>
      <c r="AF290" s="28">
        <v>0</v>
      </c>
      <c r="AG290" s="28">
        <v>0</v>
      </c>
      <c r="AH290" s="28">
        <v>269</v>
      </c>
      <c r="AI290" s="28">
        <v>270</v>
      </c>
      <c r="AJ290" s="28">
        <v>250</v>
      </c>
      <c r="AK290" s="28">
        <v>3640</v>
      </c>
      <c r="AL290" s="28">
        <v>3623</v>
      </c>
      <c r="AM290" s="28">
        <v>28210</v>
      </c>
      <c r="AN290" s="28">
        <v>5197</v>
      </c>
      <c r="AO290" s="28">
        <v>16397</v>
      </c>
      <c r="AP290" s="28">
        <v>954</v>
      </c>
      <c r="AQ290" s="28">
        <v>0</v>
      </c>
      <c r="AR290" s="28">
        <v>0</v>
      </c>
      <c r="AS290" s="28">
        <v>0</v>
      </c>
      <c r="AT290" s="28">
        <v>0</v>
      </c>
      <c r="AU290" s="28">
        <v>0</v>
      </c>
      <c r="AV290" s="28">
        <v>0</v>
      </c>
      <c r="AW290" s="28">
        <v>469</v>
      </c>
      <c r="AX290" s="28">
        <v>0</v>
      </c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</row>
    <row r="291" spans="1:63" x14ac:dyDescent="0.2">
      <c r="A291" s="30"/>
      <c r="B291" s="43"/>
      <c r="C291" s="4" t="s">
        <v>355</v>
      </c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30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Z291" s="4" t="s">
        <v>296</v>
      </c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</row>
    <row r="292" spans="1:63" x14ac:dyDescent="0.2">
      <c r="A292" s="30"/>
      <c r="B292" s="43"/>
      <c r="C292" s="10" t="s">
        <v>50</v>
      </c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30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>
        <v>4624</v>
      </c>
      <c r="AF292" s="28">
        <v>1747</v>
      </c>
      <c r="AG292" s="28">
        <v>9088</v>
      </c>
      <c r="AH292" s="28">
        <v>1112</v>
      </c>
      <c r="AI292" s="28">
        <v>1105</v>
      </c>
      <c r="AJ292" s="28">
        <v>1015</v>
      </c>
      <c r="AK292" s="28">
        <v>10613</v>
      </c>
      <c r="AL292" s="28">
        <v>8870</v>
      </c>
      <c r="AM292" s="28">
        <v>9112</v>
      </c>
      <c r="AN292" s="28">
        <v>8549</v>
      </c>
      <c r="AO292" s="28">
        <v>7881</v>
      </c>
      <c r="AP292" s="28">
        <v>8335</v>
      </c>
      <c r="AQ292" s="28">
        <v>14599</v>
      </c>
      <c r="AR292" s="28">
        <v>15133</v>
      </c>
      <c r="AS292" s="28">
        <v>16331</v>
      </c>
      <c r="AT292" s="28">
        <v>15522</v>
      </c>
      <c r="AU292" s="28">
        <v>14140</v>
      </c>
      <c r="AV292" s="28">
        <v>13920</v>
      </c>
      <c r="AW292" s="28">
        <v>12296</v>
      </c>
      <c r="AX292" s="28">
        <v>11610</v>
      </c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</row>
    <row r="293" spans="1:63" x14ac:dyDescent="0.2">
      <c r="A293" s="30"/>
      <c r="B293" s="43"/>
      <c r="C293" s="10" t="s">
        <v>51</v>
      </c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30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>
        <v>0</v>
      </c>
      <c r="AF293" s="28">
        <v>1651</v>
      </c>
      <c r="AG293" s="28">
        <v>233</v>
      </c>
      <c r="AH293" s="28">
        <v>9208</v>
      </c>
      <c r="AI293" s="28">
        <v>8096</v>
      </c>
      <c r="AJ293" s="28">
        <v>7783</v>
      </c>
      <c r="AK293" s="28">
        <v>0</v>
      </c>
      <c r="AL293" s="28">
        <v>0</v>
      </c>
      <c r="AM293" s="28">
        <v>0</v>
      </c>
      <c r="AN293" s="28">
        <v>0</v>
      </c>
      <c r="AO293" s="28">
        <v>0</v>
      </c>
      <c r="AP293" s="28">
        <v>0</v>
      </c>
      <c r="AQ293" s="28">
        <v>0</v>
      </c>
      <c r="AR293" s="28">
        <v>0</v>
      </c>
      <c r="AS293" s="28">
        <v>0</v>
      </c>
      <c r="AT293" s="28">
        <v>0</v>
      </c>
      <c r="AU293" s="28">
        <v>0</v>
      </c>
      <c r="AV293" s="28">
        <v>0</v>
      </c>
      <c r="AW293" s="28">
        <v>0</v>
      </c>
      <c r="AX293" s="28">
        <v>0</v>
      </c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</row>
    <row r="294" spans="1:63" x14ac:dyDescent="0.2">
      <c r="A294" s="30"/>
      <c r="B294" s="43"/>
      <c r="C294" s="9" t="s">
        <v>370</v>
      </c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30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Z294" s="4" t="s">
        <v>296</v>
      </c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</row>
    <row r="295" spans="1:63" x14ac:dyDescent="0.2">
      <c r="A295" s="30"/>
      <c r="B295" s="43"/>
      <c r="C295" s="163" t="s">
        <v>50</v>
      </c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30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>
        <v>1836</v>
      </c>
      <c r="AG295" s="28">
        <v>2050</v>
      </c>
      <c r="AH295" s="28">
        <v>1988</v>
      </c>
      <c r="AI295" s="28">
        <v>2006</v>
      </c>
      <c r="AJ295" s="28">
        <v>1955</v>
      </c>
      <c r="AK295" s="28">
        <v>12261</v>
      </c>
      <c r="AL295" s="28">
        <v>8231</v>
      </c>
      <c r="AM295" s="28">
        <v>8898</v>
      </c>
      <c r="AN295" s="28">
        <v>9635</v>
      </c>
      <c r="AO295" s="28">
        <v>7678</v>
      </c>
      <c r="AP295" s="28">
        <v>3894</v>
      </c>
      <c r="AQ295" s="28">
        <v>2766</v>
      </c>
      <c r="AR295" s="28">
        <v>527</v>
      </c>
      <c r="AS295" s="28">
        <v>0</v>
      </c>
      <c r="AT295" s="28">
        <v>0</v>
      </c>
      <c r="AU295" s="28">
        <v>0</v>
      </c>
      <c r="AV295" s="28">
        <v>0</v>
      </c>
      <c r="AW295" s="28">
        <v>0</v>
      </c>
      <c r="AX295" s="28">
        <v>0</v>
      </c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</row>
    <row r="296" spans="1:63" x14ac:dyDescent="0.2">
      <c r="A296" s="30"/>
      <c r="B296" s="43"/>
      <c r="C296" s="163" t="s">
        <v>51</v>
      </c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30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>
        <v>0</v>
      </c>
      <c r="AG296" s="28">
        <v>0</v>
      </c>
      <c r="AH296" s="28">
        <v>0</v>
      </c>
      <c r="AI296" s="28">
        <v>0</v>
      </c>
      <c r="AJ296" s="28">
        <v>0</v>
      </c>
      <c r="AK296" s="28">
        <v>0</v>
      </c>
      <c r="AL296" s="28">
        <v>0</v>
      </c>
      <c r="AM296" s="28">
        <v>0</v>
      </c>
      <c r="AN296" s="28">
        <v>0</v>
      </c>
      <c r="AO296" s="28">
        <v>0</v>
      </c>
      <c r="AP296" s="28">
        <v>0</v>
      </c>
      <c r="AQ296" s="28">
        <v>0</v>
      </c>
      <c r="AR296" s="28">
        <v>0</v>
      </c>
      <c r="AS296" s="28">
        <v>0</v>
      </c>
      <c r="AT296" s="28">
        <v>0</v>
      </c>
      <c r="AU296" s="28">
        <v>0</v>
      </c>
      <c r="AV296" s="28">
        <v>0</v>
      </c>
      <c r="AW296" s="28">
        <v>0</v>
      </c>
      <c r="AX296" s="28">
        <v>0</v>
      </c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</row>
    <row r="297" spans="1:63" s="30" customFormat="1" x14ac:dyDescent="0.2">
      <c r="B297" s="43"/>
      <c r="C297" s="4" t="s">
        <v>356</v>
      </c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Z297" s="4" t="s">
        <v>296</v>
      </c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</row>
    <row r="298" spans="1:63" s="30" customFormat="1" x14ac:dyDescent="0.2">
      <c r="B298" s="43"/>
      <c r="C298" s="10" t="s">
        <v>50</v>
      </c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>
        <v>432</v>
      </c>
      <c r="AF298" s="28">
        <v>430</v>
      </c>
      <c r="AG298" s="28">
        <v>423</v>
      </c>
      <c r="AH298" s="28">
        <v>918</v>
      </c>
      <c r="AI298" s="28">
        <v>890</v>
      </c>
      <c r="AJ298" s="28">
        <v>847</v>
      </c>
      <c r="AK298" s="28">
        <v>1410</v>
      </c>
      <c r="AL298" s="28">
        <v>1204</v>
      </c>
      <c r="AM298" s="28">
        <v>1082</v>
      </c>
      <c r="AN298" s="28">
        <v>955</v>
      </c>
      <c r="AO298" s="28">
        <v>922</v>
      </c>
      <c r="AP298" s="28">
        <v>900</v>
      </c>
      <c r="AQ298" s="28">
        <v>734</v>
      </c>
      <c r="AR298" s="28">
        <v>120</v>
      </c>
      <c r="AS298" s="28">
        <v>119</v>
      </c>
      <c r="AT298" s="28">
        <v>113</v>
      </c>
      <c r="AU298" s="28">
        <v>52</v>
      </c>
      <c r="AV298" s="28">
        <v>52</v>
      </c>
      <c r="AW298" s="28">
        <v>55</v>
      </c>
      <c r="AX298" s="28">
        <v>57</v>
      </c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</row>
    <row r="299" spans="1:63" s="30" customFormat="1" x14ac:dyDescent="0.2">
      <c r="B299" s="43"/>
      <c r="C299" s="10" t="s">
        <v>51</v>
      </c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>
        <v>0</v>
      </c>
      <c r="AF299" s="28">
        <v>0</v>
      </c>
      <c r="AG299" s="28">
        <v>0</v>
      </c>
      <c r="AH299" s="28">
        <v>743</v>
      </c>
      <c r="AI299" s="28">
        <v>0</v>
      </c>
      <c r="AJ299" s="28">
        <v>0</v>
      </c>
      <c r="AK299" s="28">
        <v>0</v>
      </c>
      <c r="AL299" s="28">
        <v>0</v>
      </c>
      <c r="AM299" s="28">
        <v>0</v>
      </c>
      <c r="AN299" s="28">
        <v>0</v>
      </c>
      <c r="AO299" s="28">
        <v>0</v>
      </c>
      <c r="AP299" s="28">
        <v>0</v>
      </c>
      <c r="AQ299" s="28">
        <v>0</v>
      </c>
      <c r="AR299" s="28">
        <v>0</v>
      </c>
      <c r="AS299" s="28">
        <v>0</v>
      </c>
      <c r="AT299" s="28">
        <v>0</v>
      </c>
      <c r="AU299" s="28">
        <v>0</v>
      </c>
      <c r="AV299" s="28">
        <v>0</v>
      </c>
      <c r="AW299" s="28">
        <v>0</v>
      </c>
      <c r="AX299" s="28">
        <v>0</v>
      </c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</row>
    <row r="300" spans="1:63" s="30" customFormat="1" x14ac:dyDescent="0.2">
      <c r="B300" s="43"/>
      <c r="C300" s="348" t="s">
        <v>506</v>
      </c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74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65"/>
      <c r="AT300" s="65"/>
      <c r="AU300" s="65"/>
      <c r="AV300" s="65"/>
      <c r="AW300" s="65"/>
      <c r="AX300" s="65">
        <v>1074</v>
      </c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</row>
    <row r="301" spans="1:63" x14ac:dyDescent="0.2"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>
        <f>SUM(P254:P290)</f>
        <v>206807</v>
      </c>
      <c r="Q301" s="63">
        <f>SUM(Q254:Q290)</f>
        <v>298236</v>
      </c>
      <c r="R301" s="63">
        <f t="shared" ref="R301:AW301" si="193">SUM(R254:R300)</f>
        <v>288694</v>
      </c>
      <c r="S301" s="63">
        <f t="shared" si="193"/>
        <v>0</v>
      </c>
      <c r="T301" s="63">
        <f t="shared" si="193"/>
        <v>343836</v>
      </c>
      <c r="U301" s="63">
        <f t="shared" si="193"/>
        <v>308987</v>
      </c>
      <c r="V301" s="63">
        <f t="shared" si="193"/>
        <v>340797</v>
      </c>
      <c r="W301" s="63">
        <f t="shared" si="193"/>
        <v>174349</v>
      </c>
      <c r="X301" s="63">
        <f t="shared" si="193"/>
        <v>220394</v>
      </c>
      <c r="Y301" s="63">
        <f t="shared" si="193"/>
        <v>210353</v>
      </c>
      <c r="Z301" s="63">
        <f t="shared" si="193"/>
        <v>210950</v>
      </c>
      <c r="AA301" s="63">
        <f t="shared" si="193"/>
        <v>223316</v>
      </c>
      <c r="AB301" s="63">
        <f t="shared" si="193"/>
        <v>360630</v>
      </c>
      <c r="AC301" s="63">
        <f t="shared" si="193"/>
        <v>401404</v>
      </c>
      <c r="AD301" s="63">
        <f t="shared" si="193"/>
        <v>604863</v>
      </c>
      <c r="AE301" s="63">
        <f t="shared" si="193"/>
        <v>634000</v>
      </c>
      <c r="AF301" s="63">
        <f t="shared" si="193"/>
        <v>517541</v>
      </c>
      <c r="AG301" s="63">
        <f t="shared" si="193"/>
        <v>533578</v>
      </c>
      <c r="AH301" s="63">
        <f t="shared" si="193"/>
        <v>523529</v>
      </c>
      <c r="AI301" s="63">
        <f t="shared" si="193"/>
        <v>504442</v>
      </c>
      <c r="AJ301" s="63">
        <f t="shared" si="193"/>
        <v>463661</v>
      </c>
      <c r="AK301" s="63">
        <f t="shared" si="193"/>
        <v>485633</v>
      </c>
      <c r="AL301" s="63">
        <f t="shared" si="193"/>
        <v>451364</v>
      </c>
      <c r="AM301" s="63">
        <f t="shared" si="193"/>
        <v>478778</v>
      </c>
      <c r="AN301" s="63">
        <f t="shared" si="193"/>
        <v>526123</v>
      </c>
      <c r="AO301" s="63">
        <f t="shared" si="193"/>
        <v>561455</v>
      </c>
      <c r="AP301" s="63">
        <f t="shared" si="193"/>
        <v>512816</v>
      </c>
      <c r="AQ301" s="63">
        <f t="shared" si="193"/>
        <v>526312</v>
      </c>
      <c r="AR301" s="63">
        <f t="shared" si="193"/>
        <v>551346</v>
      </c>
      <c r="AS301" s="63">
        <f t="shared" si="193"/>
        <v>565032</v>
      </c>
      <c r="AT301" s="63">
        <f t="shared" si="193"/>
        <v>537435</v>
      </c>
      <c r="AU301" s="63">
        <f t="shared" si="193"/>
        <v>551534</v>
      </c>
      <c r="AV301" s="63">
        <f t="shared" si="193"/>
        <v>605260</v>
      </c>
      <c r="AW301" s="63">
        <f t="shared" si="193"/>
        <v>561875</v>
      </c>
      <c r="AX301" s="63">
        <f>SUM(AX254:AX300)</f>
        <v>550131</v>
      </c>
      <c r="AY301" s="63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</row>
    <row r="302" spans="1:63" x14ac:dyDescent="0.2">
      <c r="C302" s="27" t="s">
        <v>50</v>
      </c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>
        <f>SUM(P254,P257,P260,P263,P266,P269,P272,P275,P281:P284,P286,P289)</f>
        <v>36854</v>
      </c>
      <c r="Q302" s="115">
        <f>SUM(Q254,Q257,Q260,Q263,Q266,Q269,Q272,Q275,Q281:Q284,Q286,Q289)</f>
        <v>58138</v>
      </c>
      <c r="R302" s="115">
        <f>SUM(R254,R257,R260,R263,R266,R269,R272,R275,R281:R284,R286,R289,R292,R298)</f>
        <v>95068</v>
      </c>
      <c r="S302" s="115">
        <f>SUM(S254,S257,S260,S263,S266,S269,S272,S275,S281:S284,S286,S289,S292,S298)</f>
        <v>0</v>
      </c>
      <c r="T302" s="115">
        <f>SUM(T254,T257,T260,T263,T266,T269,T272,T275,T281:T284,T286,T289,T292,T298)</f>
        <v>134738</v>
      </c>
      <c r="U302" s="115">
        <f>SUM(U254,U257,U260,U263,U266,U269,U272,U275,U281:U284,U286,U289,U292,U298)</f>
        <v>198611</v>
      </c>
      <c r="V302" s="115">
        <f t="shared" ref="V302:AW302" si="194">SUM(V254,V257,V260,V263,V266,V269,V272,V275,V281:V284,V286,V289,V292,V298,V295,V278,V300)-V283</f>
        <v>194885</v>
      </c>
      <c r="W302" s="115">
        <f t="shared" si="194"/>
        <v>114877</v>
      </c>
      <c r="X302" s="115">
        <f t="shared" si="194"/>
        <v>109615</v>
      </c>
      <c r="Y302" s="115">
        <f t="shared" si="194"/>
        <v>159378</v>
      </c>
      <c r="Z302" s="115">
        <f t="shared" si="194"/>
        <v>156028</v>
      </c>
      <c r="AA302" s="115">
        <f t="shared" si="194"/>
        <v>190972</v>
      </c>
      <c r="AB302" s="115">
        <f t="shared" si="194"/>
        <v>266716</v>
      </c>
      <c r="AC302" s="115">
        <f t="shared" si="194"/>
        <v>187458</v>
      </c>
      <c r="AD302" s="115">
        <f t="shared" si="194"/>
        <v>310715</v>
      </c>
      <c r="AE302" s="115">
        <f t="shared" si="194"/>
        <v>396367</v>
      </c>
      <c r="AF302" s="115">
        <f t="shared" si="194"/>
        <v>380632</v>
      </c>
      <c r="AG302" s="115">
        <f t="shared" si="194"/>
        <v>483351</v>
      </c>
      <c r="AH302" s="115">
        <f t="shared" si="194"/>
        <v>397288</v>
      </c>
      <c r="AI302" s="115">
        <f t="shared" si="194"/>
        <v>356296</v>
      </c>
      <c r="AJ302" s="115">
        <f t="shared" si="194"/>
        <v>283884</v>
      </c>
      <c r="AK302" s="115">
        <f t="shared" si="194"/>
        <v>481993</v>
      </c>
      <c r="AL302" s="115">
        <f t="shared" si="194"/>
        <v>374892</v>
      </c>
      <c r="AM302" s="115">
        <f t="shared" si="194"/>
        <v>412149</v>
      </c>
      <c r="AN302" s="115">
        <f t="shared" si="194"/>
        <v>510530</v>
      </c>
      <c r="AO302" s="115">
        <f t="shared" si="194"/>
        <v>545058</v>
      </c>
      <c r="AP302" s="115">
        <f t="shared" si="194"/>
        <v>511209</v>
      </c>
      <c r="AQ302" s="115">
        <f t="shared" si="194"/>
        <v>526090</v>
      </c>
      <c r="AR302" s="115">
        <f t="shared" si="194"/>
        <v>541968</v>
      </c>
      <c r="AS302" s="115">
        <f t="shared" si="194"/>
        <v>455041</v>
      </c>
      <c r="AT302" s="115">
        <f t="shared" si="194"/>
        <v>452674</v>
      </c>
      <c r="AU302" s="115">
        <f t="shared" si="194"/>
        <v>448422</v>
      </c>
      <c r="AV302" s="115">
        <f t="shared" si="194"/>
        <v>574739</v>
      </c>
      <c r="AW302" s="115">
        <f t="shared" si="194"/>
        <v>528875</v>
      </c>
      <c r="AX302" s="115">
        <f>SUM(AX254,AX257,AX260,AX263,AX266,AX269,AX272,AX275,AX281:AX284,AX286,AX289,AX292,AX298,AX295,AX278,AX300)-AX283</f>
        <v>538566</v>
      </c>
      <c r="AY302" s="115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</row>
    <row r="303" spans="1:63" x14ac:dyDescent="0.2">
      <c r="C303" s="27" t="s">
        <v>51</v>
      </c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>
        <f>SUM(P255,P258,P261,P264,P267,P270,P273,P276,P287,P290)</f>
        <v>169953</v>
      </c>
      <c r="Q303" s="115">
        <f>SUM(Q255,Q258,Q261,Q264,Q267,Q270,Q273,Q276,Q287,Q290)</f>
        <v>240098</v>
      </c>
      <c r="R303" s="115">
        <f t="shared" ref="R303:W303" si="195">SUM(R255,R258,R261,R264,R267,R270,R273,R276,R287,R290,R293,R299)</f>
        <v>193626</v>
      </c>
      <c r="S303" s="115">
        <f t="shared" si="195"/>
        <v>0</v>
      </c>
      <c r="T303" s="115">
        <f t="shared" si="195"/>
        <v>209098</v>
      </c>
      <c r="U303" s="115">
        <f t="shared" si="195"/>
        <v>110376</v>
      </c>
      <c r="V303" s="115">
        <f t="shared" si="195"/>
        <v>145912</v>
      </c>
      <c r="W303" s="115">
        <f t="shared" si="195"/>
        <v>59472</v>
      </c>
      <c r="X303" s="115">
        <f t="shared" ref="X303:AX303" si="196">SUM(X255,X258,X261,X264,X267,X270,X273,X276,X287,X290,X293,X299,X296,X283)</f>
        <v>110779</v>
      </c>
      <c r="Y303" s="115">
        <f t="shared" si="196"/>
        <v>50975</v>
      </c>
      <c r="Z303" s="115">
        <f t="shared" si="196"/>
        <v>54922</v>
      </c>
      <c r="AA303" s="115">
        <f t="shared" si="196"/>
        <v>32344</v>
      </c>
      <c r="AB303" s="115">
        <f t="shared" si="196"/>
        <v>93914</v>
      </c>
      <c r="AC303" s="115">
        <f t="shared" si="196"/>
        <v>213946</v>
      </c>
      <c r="AD303" s="115">
        <f t="shared" si="196"/>
        <v>294148</v>
      </c>
      <c r="AE303" s="115">
        <f t="shared" si="196"/>
        <v>237633</v>
      </c>
      <c r="AF303" s="115">
        <f t="shared" si="196"/>
        <v>136909</v>
      </c>
      <c r="AG303" s="115">
        <f t="shared" si="196"/>
        <v>50227</v>
      </c>
      <c r="AH303" s="115">
        <f t="shared" si="196"/>
        <v>126241</v>
      </c>
      <c r="AI303" s="115">
        <f t="shared" si="196"/>
        <v>148146</v>
      </c>
      <c r="AJ303" s="115">
        <f t="shared" si="196"/>
        <v>179777</v>
      </c>
      <c r="AK303" s="115">
        <f t="shared" si="196"/>
        <v>3640</v>
      </c>
      <c r="AL303" s="115">
        <f t="shared" si="196"/>
        <v>76472</v>
      </c>
      <c r="AM303" s="115">
        <f t="shared" si="196"/>
        <v>66629</v>
      </c>
      <c r="AN303" s="115">
        <f t="shared" si="196"/>
        <v>15593</v>
      </c>
      <c r="AO303" s="115">
        <f t="shared" si="196"/>
        <v>16397</v>
      </c>
      <c r="AP303" s="115">
        <f t="shared" si="196"/>
        <v>1607</v>
      </c>
      <c r="AQ303" s="115">
        <f t="shared" si="196"/>
        <v>222</v>
      </c>
      <c r="AR303" s="115">
        <f t="shared" si="196"/>
        <v>9378</v>
      </c>
      <c r="AS303" s="115">
        <f t="shared" si="196"/>
        <v>109991</v>
      </c>
      <c r="AT303" s="115">
        <f t="shared" si="196"/>
        <v>84761</v>
      </c>
      <c r="AU303" s="115">
        <f t="shared" si="196"/>
        <v>103112</v>
      </c>
      <c r="AV303" s="115">
        <f t="shared" si="196"/>
        <v>30521</v>
      </c>
      <c r="AW303" s="115">
        <f t="shared" si="196"/>
        <v>33000</v>
      </c>
      <c r="AX303" s="115">
        <f t="shared" si="196"/>
        <v>11565</v>
      </c>
      <c r="AY303" s="115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</row>
    <row r="304" spans="1:63" x14ac:dyDescent="0.2">
      <c r="C304" s="114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BA304" s="9"/>
      <c r="BB304" s="157"/>
      <c r="BC304" s="9"/>
      <c r="BD304" s="9"/>
      <c r="BE304" s="9"/>
      <c r="BF304" s="9"/>
      <c r="BG304" s="9"/>
      <c r="BH304" s="9"/>
      <c r="BI304" s="9"/>
      <c r="BJ304" s="9"/>
      <c r="BK304" s="9"/>
    </row>
    <row r="305" spans="2:63" x14ac:dyDescent="0.2">
      <c r="C305" s="9" t="s">
        <v>126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</row>
    <row r="306" spans="2:63" x14ac:dyDescent="0.2">
      <c r="C306" s="27" t="s">
        <v>50</v>
      </c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>
        <v>0</v>
      </c>
      <c r="Q306" s="8"/>
      <c r="R306" s="8">
        <v>3610</v>
      </c>
      <c r="S306" s="9"/>
      <c r="T306" s="8">
        <v>9240</v>
      </c>
      <c r="U306" s="8">
        <v>8642</v>
      </c>
      <c r="V306" s="8">
        <v>6752</v>
      </c>
      <c r="W306" s="8">
        <v>9046</v>
      </c>
      <c r="X306" s="8">
        <v>5337</v>
      </c>
      <c r="Y306" s="8">
        <v>6792</v>
      </c>
      <c r="Z306" s="8">
        <v>7997</v>
      </c>
      <c r="AA306" s="8">
        <v>3747</v>
      </c>
      <c r="AB306" s="8">
        <v>2419</v>
      </c>
      <c r="AC306" s="8">
        <v>3798</v>
      </c>
      <c r="AD306" s="8">
        <v>4764</v>
      </c>
      <c r="AE306" s="8">
        <v>3492</v>
      </c>
      <c r="AF306" s="8">
        <v>3610</v>
      </c>
      <c r="AG306" s="8">
        <v>4234</v>
      </c>
      <c r="AH306" s="8">
        <v>7513</v>
      </c>
      <c r="AI306" s="8">
        <v>6929</v>
      </c>
      <c r="AJ306" s="8">
        <v>6454</v>
      </c>
      <c r="AK306" s="8">
        <v>28698</v>
      </c>
      <c r="AL306" s="8">
        <v>1620</v>
      </c>
      <c r="AM306" s="8">
        <v>1494</v>
      </c>
      <c r="AN306" s="8">
        <v>631</v>
      </c>
      <c r="AO306" s="8">
        <v>1337</v>
      </c>
      <c r="AP306" s="8">
        <v>2384</v>
      </c>
      <c r="AQ306" s="8">
        <v>5120</v>
      </c>
      <c r="AR306" s="8">
        <v>4948</v>
      </c>
      <c r="AS306" s="8">
        <v>4597</v>
      </c>
      <c r="AT306" s="8">
        <v>10303</v>
      </c>
      <c r="AU306" s="8">
        <v>8644</v>
      </c>
      <c r="AV306" s="8">
        <v>6315</v>
      </c>
      <c r="AW306" s="8">
        <v>7729</v>
      </c>
      <c r="AX306" s="8">
        <v>7221</v>
      </c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</row>
    <row r="307" spans="2:63" x14ac:dyDescent="0.2">
      <c r="C307" s="27" t="s">
        <v>51</v>
      </c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>
        <v>0</v>
      </c>
      <c r="Q307" s="8"/>
      <c r="R307" s="8">
        <v>0</v>
      </c>
      <c r="S307" s="9"/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v>0</v>
      </c>
      <c r="AD307" s="8">
        <v>0</v>
      </c>
      <c r="AE307" s="8">
        <v>0</v>
      </c>
      <c r="AF307" s="8">
        <v>0</v>
      </c>
      <c r="AG307" s="8">
        <v>0</v>
      </c>
      <c r="AH307" s="8">
        <v>0</v>
      </c>
      <c r="AI307" s="8">
        <v>0</v>
      </c>
      <c r="AJ307" s="8">
        <v>0</v>
      </c>
      <c r="AK307" s="8">
        <v>0</v>
      </c>
      <c r="AL307" s="8">
        <v>0</v>
      </c>
      <c r="AM307" s="8">
        <v>0</v>
      </c>
      <c r="AN307" s="8">
        <v>0</v>
      </c>
      <c r="AO307" s="8">
        <v>0</v>
      </c>
      <c r="AP307" s="8">
        <v>0</v>
      </c>
      <c r="AQ307" s="8">
        <v>0</v>
      </c>
      <c r="AR307" s="8">
        <v>0</v>
      </c>
      <c r="AS307" s="8">
        <v>0</v>
      </c>
      <c r="AT307" s="8">
        <v>0</v>
      </c>
      <c r="AU307" s="8">
        <v>0</v>
      </c>
      <c r="AV307" s="8">
        <v>0</v>
      </c>
      <c r="AW307" s="8">
        <v>0</v>
      </c>
      <c r="AX307" s="8">
        <v>0</v>
      </c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</row>
    <row r="308" spans="2:63" x14ac:dyDescent="0.2">
      <c r="C308" s="32" t="s">
        <v>31</v>
      </c>
      <c r="R308" s="34">
        <f>(R301+R306+R307)-SUM(R15:R20)</f>
        <v>0</v>
      </c>
      <c r="T308" s="34">
        <f>(T301+T306+T307)-SUM(T15:T20)</f>
        <v>0</v>
      </c>
      <c r="X308" s="34">
        <f t="shared" ref="X308:AX308" si="197">(X301+X306+X307)-SUM(X15:X20)</f>
        <v>0</v>
      </c>
      <c r="Y308" s="34">
        <f t="shared" si="197"/>
        <v>0</v>
      </c>
      <c r="Z308" s="34">
        <f t="shared" si="197"/>
        <v>0</v>
      </c>
      <c r="AA308" s="34">
        <f t="shared" si="197"/>
        <v>0</v>
      </c>
      <c r="AB308" s="34">
        <f t="shared" si="197"/>
        <v>0</v>
      </c>
      <c r="AC308" s="34">
        <f t="shared" si="197"/>
        <v>0</v>
      </c>
      <c r="AD308" s="34">
        <f t="shared" si="197"/>
        <v>0</v>
      </c>
      <c r="AE308" s="34">
        <f t="shared" si="197"/>
        <v>0</v>
      </c>
      <c r="AF308" s="34">
        <f t="shared" si="197"/>
        <v>0</v>
      </c>
      <c r="AG308" s="34">
        <f t="shared" si="197"/>
        <v>0</v>
      </c>
      <c r="AH308" s="34">
        <f t="shared" si="197"/>
        <v>0</v>
      </c>
      <c r="AI308" s="34">
        <f t="shared" si="197"/>
        <v>0</v>
      </c>
      <c r="AJ308" s="274">
        <f t="shared" si="197"/>
        <v>0</v>
      </c>
      <c r="AK308" s="274">
        <f t="shared" si="197"/>
        <v>0</v>
      </c>
      <c r="AL308" s="274">
        <f t="shared" si="197"/>
        <v>0</v>
      </c>
      <c r="AM308" s="274">
        <f t="shared" si="197"/>
        <v>0</v>
      </c>
      <c r="AN308" s="274">
        <f t="shared" si="197"/>
        <v>0</v>
      </c>
      <c r="AO308" s="274">
        <f t="shared" si="197"/>
        <v>0</v>
      </c>
      <c r="AP308" s="274">
        <f t="shared" si="197"/>
        <v>0</v>
      </c>
      <c r="AQ308" s="274">
        <f t="shared" si="197"/>
        <v>0</v>
      </c>
      <c r="AR308" s="274">
        <f t="shared" si="197"/>
        <v>0</v>
      </c>
      <c r="AS308" s="274">
        <f t="shared" si="197"/>
        <v>0</v>
      </c>
      <c r="AT308" s="274">
        <f t="shared" si="197"/>
        <v>0</v>
      </c>
      <c r="AU308" s="274">
        <f t="shared" si="197"/>
        <v>0</v>
      </c>
      <c r="AV308" s="274">
        <f t="shared" si="197"/>
        <v>0</v>
      </c>
      <c r="AW308" s="274">
        <f t="shared" si="197"/>
        <v>0</v>
      </c>
      <c r="AX308" s="274">
        <f t="shared" si="197"/>
        <v>0</v>
      </c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</row>
    <row r="309" spans="2:63" x14ac:dyDescent="0.2"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</row>
    <row r="310" spans="2:63" x14ac:dyDescent="0.2">
      <c r="C310" s="4" t="s">
        <v>394</v>
      </c>
      <c r="X310" s="19">
        <f t="shared" ref="X310:AX310" si="198">SUM(X254:X261,X269:X276)</f>
        <v>219477</v>
      </c>
      <c r="Y310" s="19">
        <f t="shared" si="198"/>
        <v>209421</v>
      </c>
      <c r="Z310" s="19">
        <f t="shared" si="198"/>
        <v>209974</v>
      </c>
      <c r="AA310" s="19">
        <f t="shared" si="198"/>
        <v>222064</v>
      </c>
      <c r="AB310" s="19">
        <f t="shared" si="198"/>
        <v>244820</v>
      </c>
      <c r="AC310" s="19">
        <f t="shared" si="198"/>
        <v>290659</v>
      </c>
      <c r="AD310" s="19">
        <f t="shared" si="198"/>
        <v>487567</v>
      </c>
      <c r="AE310" s="19">
        <f t="shared" si="198"/>
        <v>463177</v>
      </c>
      <c r="AF310" s="19">
        <f t="shared" si="198"/>
        <v>347977</v>
      </c>
      <c r="AG310" s="19">
        <f t="shared" si="198"/>
        <v>351009</v>
      </c>
      <c r="AH310" s="19">
        <f t="shared" si="198"/>
        <v>331624</v>
      </c>
      <c r="AI310" s="19">
        <f t="shared" si="198"/>
        <v>324499</v>
      </c>
      <c r="AJ310" s="19">
        <f t="shared" si="198"/>
        <v>304616</v>
      </c>
      <c r="AK310" s="19">
        <f t="shared" si="198"/>
        <v>314363</v>
      </c>
      <c r="AL310" s="19">
        <f t="shared" si="198"/>
        <v>261921</v>
      </c>
      <c r="AM310" s="19">
        <f t="shared" si="198"/>
        <v>302400</v>
      </c>
      <c r="AN310" s="19">
        <f t="shared" si="198"/>
        <v>345358</v>
      </c>
      <c r="AO310" s="19">
        <f t="shared" si="198"/>
        <v>379216</v>
      </c>
      <c r="AP310" s="19">
        <f t="shared" si="198"/>
        <v>374322</v>
      </c>
      <c r="AQ310" s="19">
        <f t="shared" si="198"/>
        <v>387679</v>
      </c>
      <c r="AR310" s="19">
        <f t="shared" si="198"/>
        <v>417284</v>
      </c>
      <c r="AS310" s="19">
        <f t="shared" si="198"/>
        <v>413816</v>
      </c>
      <c r="AT310" s="19">
        <f t="shared" si="198"/>
        <v>390918</v>
      </c>
      <c r="AU310" s="19">
        <f t="shared" si="198"/>
        <v>371506</v>
      </c>
      <c r="AV310" s="19">
        <f t="shared" si="198"/>
        <v>473613</v>
      </c>
      <c r="AW310" s="19">
        <f t="shared" si="198"/>
        <v>431437</v>
      </c>
      <c r="AX310" s="19">
        <f t="shared" si="198"/>
        <v>416672</v>
      </c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</row>
    <row r="311" spans="2:63" x14ac:dyDescent="0.2">
      <c r="C311" s="4" t="s">
        <v>395</v>
      </c>
      <c r="X311" s="19">
        <f t="shared" ref="X311:AC311" si="199">SUM(X286:X299)</f>
        <v>0</v>
      </c>
      <c r="Y311" s="19">
        <f t="shared" si="199"/>
        <v>0</v>
      </c>
      <c r="Z311" s="19">
        <f t="shared" si="199"/>
        <v>0</v>
      </c>
      <c r="AA311" s="19">
        <f t="shared" si="199"/>
        <v>0</v>
      </c>
      <c r="AB311" s="19">
        <f t="shared" si="199"/>
        <v>112426</v>
      </c>
      <c r="AC311" s="19">
        <f t="shared" si="199"/>
        <v>104437</v>
      </c>
      <c r="AD311" s="19">
        <f t="shared" ref="AD311:AW311" si="200">SUM(AD286:AD300)</f>
        <v>105126</v>
      </c>
      <c r="AE311" s="19">
        <f t="shared" si="200"/>
        <v>156877</v>
      </c>
      <c r="AF311" s="19">
        <f t="shared" si="200"/>
        <v>155864</v>
      </c>
      <c r="AG311" s="19">
        <f t="shared" si="200"/>
        <v>168967</v>
      </c>
      <c r="AH311" s="19">
        <f t="shared" si="200"/>
        <v>180223</v>
      </c>
      <c r="AI311" s="19">
        <f t="shared" si="200"/>
        <v>160094</v>
      </c>
      <c r="AJ311" s="19">
        <f t="shared" si="200"/>
        <v>139302</v>
      </c>
      <c r="AK311" s="19">
        <f t="shared" si="200"/>
        <v>133493</v>
      </c>
      <c r="AL311" s="19">
        <f t="shared" si="200"/>
        <v>140106</v>
      </c>
      <c r="AM311" s="19">
        <f t="shared" si="200"/>
        <v>130453</v>
      </c>
      <c r="AN311" s="19">
        <f t="shared" si="200"/>
        <v>129627</v>
      </c>
      <c r="AO311" s="19">
        <f t="shared" si="200"/>
        <v>119420</v>
      </c>
      <c r="AP311" s="19">
        <f t="shared" si="200"/>
        <v>89550</v>
      </c>
      <c r="AQ311" s="19">
        <f t="shared" si="200"/>
        <v>90803</v>
      </c>
      <c r="AR311" s="19">
        <f t="shared" si="200"/>
        <v>84799</v>
      </c>
      <c r="AS311" s="19">
        <f t="shared" si="200"/>
        <v>81722</v>
      </c>
      <c r="AT311" s="19">
        <f t="shared" si="200"/>
        <v>74417</v>
      </c>
      <c r="AU311" s="19">
        <f t="shared" si="200"/>
        <v>69656</v>
      </c>
      <c r="AV311" s="19">
        <f t="shared" si="200"/>
        <v>67907</v>
      </c>
      <c r="AW311" s="19">
        <f t="shared" si="200"/>
        <v>65910</v>
      </c>
      <c r="AX311" s="19">
        <f>SUM(AX286:AX300)</f>
        <v>66721</v>
      </c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</row>
    <row r="312" spans="2:63" x14ac:dyDescent="0.2">
      <c r="C312" s="4" t="s">
        <v>388</v>
      </c>
      <c r="X312" s="19">
        <f t="shared" ref="X312:AX312" si="201">(X192+X193+X194)+X209</f>
        <v>159360.685</v>
      </c>
      <c r="Y312" s="19">
        <f t="shared" si="201"/>
        <v>143696.09663226001</v>
      </c>
      <c r="Z312" s="19">
        <f t="shared" si="201"/>
        <v>126510.792</v>
      </c>
      <c r="AA312" s="19">
        <f t="shared" si="201"/>
        <v>120583.166</v>
      </c>
      <c r="AB312" s="19">
        <f t="shared" si="201"/>
        <v>112195</v>
      </c>
      <c r="AC312" s="19">
        <f t="shared" si="201"/>
        <v>129409</v>
      </c>
      <c r="AD312" s="19">
        <f t="shared" si="201"/>
        <v>117097</v>
      </c>
      <c r="AE312" s="19">
        <f t="shared" si="201"/>
        <v>111803</v>
      </c>
      <c r="AF312" s="19">
        <f t="shared" si="201"/>
        <v>65748</v>
      </c>
      <c r="AG312" s="19">
        <f t="shared" si="201"/>
        <v>44331</v>
      </c>
      <c r="AH312" s="19">
        <f t="shared" si="201"/>
        <v>35632</v>
      </c>
      <c r="AI312" s="19">
        <f t="shared" si="201"/>
        <v>33173</v>
      </c>
      <c r="AJ312" s="19">
        <f t="shared" si="201"/>
        <v>26916</v>
      </c>
      <c r="AK312" s="19">
        <f t="shared" si="201"/>
        <v>24898</v>
      </c>
      <c r="AL312" s="19">
        <f t="shared" si="201"/>
        <v>12268</v>
      </c>
      <c r="AM312" s="19">
        <f t="shared" si="201"/>
        <v>11630</v>
      </c>
      <c r="AN312" s="19">
        <f t="shared" si="201"/>
        <v>9500</v>
      </c>
      <c r="AO312" s="19">
        <f t="shared" si="201"/>
        <v>9094</v>
      </c>
      <c r="AP312" s="19">
        <f t="shared" si="201"/>
        <v>2899</v>
      </c>
      <c r="AQ312" s="19">
        <f t="shared" si="201"/>
        <v>16493</v>
      </c>
      <c r="AR312" s="19">
        <f t="shared" si="201"/>
        <v>1954</v>
      </c>
      <c r="AS312" s="19">
        <f t="shared" si="201"/>
        <v>1992</v>
      </c>
      <c r="AT312" s="19">
        <f t="shared" si="201"/>
        <v>1938</v>
      </c>
      <c r="AU312" s="19">
        <f t="shared" si="201"/>
        <v>1974</v>
      </c>
      <c r="AV312" s="19">
        <f t="shared" si="201"/>
        <v>1045</v>
      </c>
      <c r="AW312" s="19">
        <f t="shared" si="201"/>
        <v>1066</v>
      </c>
      <c r="AX312" s="19">
        <f t="shared" si="201"/>
        <v>1033</v>
      </c>
      <c r="AZ312" s="4" t="s">
        <v>325</v>
      </c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</row>
    <row r="313" spans="2:63" x14ac:dyDescent="0.2">
      <c r="C313" s="4" t="s">
        <v>389</v>
      </c>
      <c r="X313" s="20">
        <f>X75</f>
        <v>30004.716</v>
      </c>
      <c r="AB313" s="20">
        <f>AB75</f>
        <v>18749</v>
      </c>
      <c r="AC313" s="19">
        <v>21592.348999999998</v>
      </c>
      <c r="AD313" s="19">
        <f>AD75</f>
        <v>17058.373</v>
      </c>
      <c r="AE313" s="19"/>
      <c r="AF313" s="20">
        <f>AF75</f>
        <v>10775.906615779753</v>
      </c>
      <c r="AG313" s="20">
        <f>AG75</f>
        <v>10484.094999999999</v>
      </c>
      <c r="AH313" s="20">
        <f>AH75</f>
        <v>10187.79393226</v>
      </c>
      <c r="AI313" s="20">
        <f>AI75</f>
        <v>3771.7344110200002</v>
      </c>
      <c r="AJ313" s="20">
        <f>AJ75</f>
        <v>786.72414226000012</v>
      </c>
      <c r="AK313" s="20">
        <v>875.81899999999996</v>
      </c>
      <c r="AL313" s="20">
        <f>AL75</f>
        <v>542</v>
      </c>
      <c r="AM313" s="20">
        <f>AM75</f>
        <v>601</v>
      </c>
      <c r="AN313" s="20">
        <v>749</v>
      </c>
      <c r="AO313" s="20">
        <v>0</v>
      </c>
      <c r="AP313" s="20">
        <v>0</v>
      </c>
      <c r="AQ313" s="20">
        <v>883</v>
      </c>
      <c r="AR313" s="20">
        <v>0</v>
      </c>
      <c r="AS313" s="20">
        <v>0</v>
      </c>
      <c r="AT313" s="20">
        <v>0</v>
      </c>
      <c r="AU313" s="20">
        <v>0</v>
      </c>
      <c r="AV313" s="20">
        <v>0</v>
      </c>
      <c r="AW313" s="20">
        <v>0</v>
      </c>
      <c r="AX313" s="20">
        <v>0</v>
      </c>
      <c r="AZ313" s="4" t="s">
        <v>325</v>
      </c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</row>
    <row r="314" spans="2:63" s="253" customFormat="1" x14ac:dyDescent="0.2">
      <c r="B314" s="291"/>
      <c r="C314" s="253" t="s">
        <v>448</v>
      </c>
      <c r="X314" s="122">
        <f>X313+X312+X306+X301</f>
        <v>415096.40100000001</v>
      </c>
      <c r="AB314" s="122">
        <f t="shared" ref="AB314:AO314" si="202">AB313+AB312+AB306+AB301</f>
        <v>493993</v>
      </c>
      <c r="AC314" s="122">
        <f t="shared" si="202"/>
        <v>556203.34899999993</v>
      </c>
      <c r="AD314" s="122">
        <f t="shared" si="202"/>
        <v>743782.37300000002</v>
      </c>
      <c r="AE314" s="122">
        <f t="shared" si="202"/>
        <v>749295</v>
      </c>
      <c r="AF314" s="122">
        <f t="shared" si="202"/>
        <v>597674.90661577974</v>
      </c>
      <c r="AG314" s="122">
        <f t="shared" si="202"/>
        <v>592627.09499999997</v>
      </c>
      <c r="AH314" s="122">
        <f t="shared" si="202"/>
        <v>576861.79393226001</v>
      </c>
      <c r="AI314" s="122">
        <f t="shared" si="202"/>
        <v>548315.73441101995</v>
      </c>
      <c r="AJ314" s="122">
        <f t="shared" si="202"/>
        <v>497817.72414226003</v>
      </c>
      <c r="AK314" s="122">
        <f t="shared" si="202"/>
        <v>540104.81900000002</v>
      </c>
      <c r="AL314" s="122">
        <f t="shared" si="202"/>
        <v>465794</v>
      </c>
      <c r="AM314" s="122">
        <f t="shared" si="202"/>
        <v>492503</v>
      </c>
      <c r="AN314" s="122">
        <f>AN313+AN312+AN306+AN301</f>
        <v>537003</v>
      </c>
      <c r="AO314" s="122">
        <f t="shared" si="202"/>
        <v>571886</v>
      </c>
      <c r="AP314" s="122">
        <f t="shared" ref="AP314:AU314" si="203">AP313+AP312+AP306+AP301</f>
        <v>518099</v>
      </c>
      <c r="AQ314" s="122">
        <f t="shared" si="203"/>
        <v>548808</v>
      </c>
      <c r="AR314" s="122">
        <f t="shared" si="203"/>
        <v>558248</v>
      </c>
      <c r="AS314" s="122">
        <f t="shared" si="203"/>
        <v>571621</v>
      </c>
      <c r="AT314" s="122">
        <f t="shared" si="203"/>
        <v>549676</v>
      </c>
      <c r="AU314" s="122">
        <f t="shared" si="203"/>
        <v>562152</v>
      </c>
      <c r="AV314" s="122">
        <f t="shared" ref="AV314:AW314" si="204">AV313+AV312+AV306+AV301</f>
        <v>612620</v>
      </c>
      <c r="AW314" s="122">
        <f t="shared" si="204"/>
        <v>570670</v>
      </c>
      <c r="AX314" s="122">
        <f>AX313+AX312+AX306+AX301</f>
        <v>558385</v>
      </c>
      <c r="AY314" s="296"/>
      <c r="BA314" s="291"/>
      <c r="BB314" s="291"/>
      <c r="BC314" s="291"/>
      <c r="BD314" s="291"/>
      <c r="BE314" s="291"/>
      <c r="BF314" s="291"/>
      <c r="BG314" s="291"/>
      <c r="BH314" s="291"/>
      <c r="BI314" s="291"/>
      <c r="BJ314" s="291"/>
      <c r="BK314" s="291"/>
    </row>
    <row r="315" spans="2:63" x14ac:dyDescent="0.2">
      <c r="X315" s="136">
        <f t="shared" ref="X315:AX315" si="205">X314/X35</f>
        <v>0.42908278340796607</v>
      </c>
      <c r="Y315" s="136">
        <f t="shared" si="205"/>
        <v>0</v>
      </c>
      <c r="Z315" s="136">
        <f t="shared" si="205"/>
        <v>0</v>
      </c>
      <c r="AA315" s="136">
        <f t="shared" si="205"/>
        <v>0</v>
      </c>
      <c r="AB315" s="136">
        <f t="shared" si="205"/>
        <v>0.43516174327912233</v>
      </c>
      <c r="AC315" s="136">
        <f t="shared" si="205"/>
        <v>0.41884580061041771</v>
      </c>
      <c r="AD315" s="136">
        <f t="shared" si="205"/>
        <v>0.49347210303846162</v>
      </c>
      <c r="AE315" s="136">
        <f t="shared" si="205"/>
        <v>0.47844432085419453</v>
      </c>
      <c r="AF315" s="136">
        <f t="shared" si="205"/>
        <v>0.40291965983697803</v>
      </c>
      <c r="AG315" s="136">
        <f t="shared" si="205"/>
        <v>0.36812200207967616</v>
      </c>
      <c r="AH315" s="136">
        <f t="shared" si="205"/>
        <v>0.31111557823775787</v>
      </c>
      <c r="AI315" s="136">
        <f t="shared" si="205"/>
        <v>0.28656962763272475</v>
      </c>
      <c r="AJ315" s="136">
        <f t="shared" si="205"/>
        <v>0.23575871259974163</v>
      </c>
      <c r="AK315" s="136">
        <f t="shared" si="205"/>
        <v>0.2815421444135156</v>
      </c>
      <c r="AL315" s="136">
        <f t="shared" si="205"/>
        <v>0.25138159116127057</v>
      </c>
      <c r="AM315" s="136">
        <f t="shared" si="205"/>
        <v>0.24976431013996353</v>
      </c>
      <c r="AN315" s="136">
        <f t="shared" si="205"/>
        <v>0.24571567149325202</v>
      </c>
      <c r="AO315" s="136">
        <f t="shared" si="205"/>
        <v>0.25174662022218869</v>
      </c>
      <c r="AP315" s="244">
        <f t="shared" si="205"/>
        <v>0.21837580521228353</v>
      </c>
      <c r="AQ315" s="244">
        <f t="shared" si="205"/>
        <v>0.1966670297977742</v>
      </c>
      <c r="AR315" s="244">
        <f t="shared" si="205"/>
        <v>0.1750550723819648</v>
      </c>
      <c r="AS315" s="244">
        <f t="shared" si="205"/>
        <v>0.15812502040114035</v>
      </c>
      <c r="AT315" s="244">
        <f t="shared" si="205"/>
        <v>0.14484590115897591</v>
      </c>
      <c r="AU315" s="244">
        <f t="shared" si="205"/>
        <v>0.14734574162754674</v>
      </c>
      <c r="AV315" s="244">
        <f t="shared" si="205"/>
        <v>0.15140375066697279</v>
      </c>
      <c r="AW315" s="244">
        <f t="shared" si="205"/>
        <v>0.14725006941011209</v>
      </c>
      <c r="AX315" s="244">
        <f t="shared" si="205"/>
        <v>0.14250760920219627</v>
      </c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</row>
    <row r="316" spans="2:63" s="5" customFormat="1" x14ac:dyDescent="0.2">
      <c r="B316" s="42">
        <v>4</v>
      </c>
      <c r="C316" s="41" t="s">
        <v>127</v>
      </c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61"/>
    </row>
    <row r="317" spans="2:63" x14ac:dyDescent="0.2"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</row>
    <row r="318" spans="2:63" x14ac:dyDescent="0.2">
      <c r="C318" s="4" t="s">
        <v>5</v>
      </c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>
        <v>26739</v>
      </c>
      <c r="Q318" s="8"/>
      <c r="R318" s="8">
        <v>55634</v>
      </c>
      <c r="S318" s="7"/>
      <c r="T318" s="8">
        <v>92878</v>
      </c>
      <c r="U318" s="8">
        <v>79612</v>
      </c>
      <c r="V318" s="8">
        <v>96617</v>
      </c>
      <c r="W318" s="8">
        <v>110263</v>
      </c>
      <c r="X318" s="8">
        <v>104835</v>
      </c>
      <c r="Y318" s="8">
        <v>124607</v>
      </c>
      <c r="Z318" s="8">
        <v>128965</v>
      </c>
      <c r="AA318" s="8">
        <v>136048</v>
      </c>
      <c r="AB318" s="8">
        <v>130540</v>
      </c>
      <c r="AC318" s="8">
        <v>127790</v>
      </c>
      <c r="AD318" s="8">
        <v>150809</v>
      </c>
      <c r="AE318" s="8">
        <v>162258</v>
      </c>
      <c r="AF318" s="8">
        <v>180671</v>
      </c>
      <c r="AG318" s="8">
        <v>180082</v>
      </c>
      <c r="AH318" s="8">
        <v>191127</v>
      </c>
      <c r="AI318" s="8">
        <v>212334</v>
      </c>
      <c r="AJ318" s="8">
        <v>229555</v>
      </c>
      <c r="AK318" s="8">
        <v>158297</v>
      </c>
      <c r="AL318" s="8">
        <v>134870</v>
      </c>
      <c r="AM318" s="8">
        <v>130497</v>
      </c>
      <c r="AN318" s="8">
        <v>174688</v>
      </c>
      <c r="AO318" s="8">
        <v>198686</v>
      </c>
      <c r="AP318" s="8">
        <v>231290</v>
      </c>
      <c r="AQ318" s="8">
        <v>253584</v>
      </c>
      <c r="AR318" s="8">
        <v>284344</v>
      </c>
      <c r="AS318" s="8">
        <v>316639</v>
      </c>
      <c r="AT318" s="8">
        <v>319367</v>
      </c>
      <c r="AU318" s="8">
        <v>328681</v>
      </c>
      <c r="AV318" s="8">
        <v>345502</v>
      </c>
      <c r="AW318" s="8">
        <v>330022</v>
      </c>
      <c r="AX318" s="8">
        <v>334836</v>
      </c>
      <c r="AY318" s="130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</row>
    <row r="319" spans="2:63" x14ac:dyDescent="0.2">
      <c r="C319" s="4" t="s">
        <v>128</v>
      </c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>
        <v>13412</v>
      </c>
      <c r="Q319" s="8"/>
      <c r="R319" s="8">
        <v>14445</v>
      </c>
      <c r="T319" s="8">
        <v>0</v>
      </c>
      <c r="U319" s="8">
        <v>28660</v>
      </c>
      <c r="V319" s="8">
        <v>16992</v>
      </c>
      <c r="W319" s="8">
        <v>16920</v>
      </c>
      <c r="X319" s="8">
        <v>14104</v>
      </c>
      <c r="Y319" s="8">
        <v>0</v>
      </c>
      <c r="Z319" s="8">
        <v>0</v>
      </c>
      <c r="AA319" s="8">
        <v>0</v>
      </c>
      <c r="AB319" s="8">
        <v>26474</v>
      </c>
      <c r="AC319" s="8">
        <v>32162</v>
      </c>
      <c r="AD319" s="8">
        <v>28817</v>
      </c>
      <c r="AE319" s="8">
        <v>31891</v>
      </c>
      <c r="AF319" s="8">
        <v>29603</v>
      </c>
      <c r="AG319" s="8">
        <v>30571</v>
      </c>
      <c r="AH319" s="8">
        <v>29026</v>
      </c>
      <c r="AI319" s="8">
        <v>29387</v>
      </c>
      <c r="AJ319" s="8">
        <v>28065</v>
      </c>
      <c r="AK319" s="8">
        <v>29067</v>
      </c>
      <c r="AL319" s="8">
        <v>22263</v>
      </c>
      <c r="AM319" s="8">
        <v>28354</v>
      </c>
      <c r="AN319" s="8">
        <v>30688</v>
      </c>
      <c r="AO319" s="8">
        <v>35357</v>
      </c>
      <c r="AP319" s="8">
        <v>39824</v>
      </c>
      <c r="AQ319" s="8">
        <v>21758</v>
      </c>
      <c r="AR319" s="8">
        <v>22886</v>
      </c>
      <c r="AS319" s="8">
        <v>23409</v>
      </c>
      <c r="AT319" s="8">
        <v>21854</v>
      </c>
      <c r="AU319" s="8">
        <v>23077</v>
      </c>
      <c r="AV319" s="8">
        <v>24880</v>
      </c>
      <c r="AW319" s="8">
        <v>20741</v>
      </c>
      <c r="AX319" s="8">
        <v>45983</v>
      </c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</row>
    <row r="320" spans="2:63" s="6" customFormat="1" x14ac:dyDescent="0.2">
      <c r="B320" s="13"/>
      <c r="C320" s="6" t="s">
        <v>6</v>
      </c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>
        <f>SUM(P318:P319)</f>
        <v>40151</v>
      </c>
      <c r="Q320" s="17"/>
      <c r="R320" s="17">
        <f>SUM(R318:R319)</f>
        <v>70079</v>
      </c>
      <c r="T320" s="17">
        <f t="shared" ref="T320:AX320" si="206">SUM(T318:T319)</f>
        <v>92878</v>
      </c>
      <c r="U320" s="17">
        <f t="shared" si="206"/>
        <v>108272</v>
      </c>
      <c r="V320" s="17">
        <f t="shared" si="206"/>
        <v>113609</v>
      </c>
      <c r="W320" s="17">
        <f t="shared" si="206"/>
        <v>127183</v>
      </c>
      <c r="X320" s="17">
        <f t="shared" si="206"/>
        <v>118939</v>
      </c>
      <c r="Y320" s="17">
        <f t="shared" si="206"/>
        <v>124607</v>
      </c>
      <c r="Z320" s="17">
        <f t="shared" si="206"/>
        <v>128965</v>
      </c>
      <c r="AA320" s="17">
        <f t="shared" si="206"/>
        <v>136048</v>
      </c>
      <c r="AB320" s="17">
        <f t="shared" si="206"/>
        <v>157014</v>
      </c>
      <c r="AC320" s="17">
        <f t="shared" si="206"/>
        <v>159952</v>
      </c>
      <c r="AD320" s="17">
        <f t="shared" si="206"/>
        <v>179626</v>
      </c>
      <c r="AE320" s="17">
        <f t="shared" si="206"/>
        <v>194149</v>
      </c>
      <c r="AF320" s="17">
        <f t="shared" si="206"/>
        <v>210274</v>
      </c>
      <c r="AG320" s="17">
        <f t="shared" si="206"/>
        <v>210653</v>
      </c>
      <c r="AH320" s="17">
        <f t="shared" si="206"/>
        <v>220153</v>
      </c>
      <c r="AI320" s="17">
        <f t="shared" si="206"/>
        <v>241721</v>
      </c>
      <c r="AJ320" s="17">
        <f t="shared" si="206"/>
        <v>257620</v>
      </c>
      <c r="AK320" s="17">
        <f t="shared" si="206"/>
        <v>187364</v>
      </c>
      <c r="AL320" s="17">
        <f t="shared" si="206"/>
        <v>157133</v>
      </c>
      <c r="AM320" s="17">
        <f t="shared" si="206"/>
        <v>158851</v>
      </c>
      <c r="AN320" s="17">
        <f t="shared" si="206"/>
        <v>205376</v>
      </c>
      <c r="AO320" s="17">
        <f t="shared" si="206"/>
        <v>234043</v>
      </c>
      <c r="AP320" s="17">
        <f t="shared" si="206"/>
        <v>271114</v>
      </c>
      <c r="AQ320" s="17">
        <f t="shared" si="206"/>
        <v>275342</v>
      </c>
      <c r="AR320" s="17">
        <f t="shared" si="206"/>
        <v>307230</v>
      </c>
      <c r="AS320" s="17">
        <f t="shared" si="206"/>
        <v>340048</v>
      </c>
      <c r="AT320" s="17">
        <f t="shared" si="206"/>
        <v>341221</v>
      </c>
      <c r="AU320" s="17">
        <f t="shared" si="206"/>
        <v>351758</v>
      </c>
      <c r="AV320" s="17">
        <f t="shared" si="206"/>
        <v>370382</v>
      </c>
      <c r="AW320" s="17">
        <f t="shared" si="206"/>
        <v>350763</v>
      </c>
      <c r="AX320" s="17">
        <f t="shared" si="206"/>
        <v>380819</v>
      </c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</row>
    <row r="321" spans="2:63" x14ac:dyDescent="0.2"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</row>
    <row r="322" spans="2:63" x14ac:dyDescent="0.2">
      <c r="C322" s="4" t="s">
        <v>7</v>
      </c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>
        <v>353491</v>
      </c>
      <c r="Q322" s="8"/>
      <c r="R322" s="8">
        <v>438307</v>
      </c>
      <c r="T322" s="8">
        <v>641127</v>
      </c>
      <c r="U322" s="8">
        <v>554009</v>
      </c>
      <c r="V322" s="8">
        <v>772107</v>
      </c>
      <c r="W322" s="8">
        <v>905938</v>
      </c>
      <c r="X322" s="8">
        <v>862081</v>
      </c>
      <c r="Y322" s="8">
        <v>821349</v>
      </c>
      <c r="Z322" s="8">
        <v>860231</v>
      </c>
      <c r="AA322" s="8">
        <v>875228</v>
      </c>
      <c r="AB322" s="8">
        <v>1065324</v>
      </c>
      <c r="AC322" s="8">
        <v>1263201</v>
      </c>
      <c r="AD322" s="8">
        <v>1431405</v>
      </c>
      <c r="AE322" s="8">
        <v>1326984</v>
      </c>
      <c r="AF322" s="8">
        <v>1344810</v>
      </c>
      <c r="AG322" s="8">
        <v>1415624</v>
      </c>
      <c r="AH322" s="8">
        <v>1614022</v>
      </c>
      <c r="AI322" s="8">
        <v>1690435</v>
      </c>
      <c r="AJ322" s="8">
        <v>1963187</v>
      </c>
      <c r="AK322" s="8">
        <v>1919541</v>
      </c>
      <c r="AL322" s="8">
        <v>1793077</v>
      </c>
      <c r="AM322" s="8">
        <v>1970666</v>
      </c>
      <c r="AN322" s="8">
        <v>2026324</v>
      </c>
      <c r="AO322" s="8">
        <v>2158154</v>
      </c>
      <c r="AP322" s="8">
        <v>2246142</v>
      </c>
      <c r="AQ322" s="8">
        <v>2412008</v>
      </c>
      <c r="AR322" s="8">
        <v>2755053</v>
      </c>
      <c r="AS322" s="8">
        <v>3065608</v>
      </c>
      <c r="AT322" s="8">
        <v>3177984</v>
      </c>
      <c r="AU322" s="8">
        <v>3224859</v>
      </c>
      <c r="AV322" s="8">
        <v>3664160</v>
      </c>
      <c r="AW322" s="8">
        <v>3604565</v>
      </c>
      <c r="AX322" s="8">
        <v>3639906</v>
      </c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</row>
    <row r="323" spans="2:63" x14ac:dyDescent="0.2"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</row>
    <row r="324" spans="2:63" x14ac:dyDescent="0.2">
      <c r="C324" s="9" t="s">
        <v>4</v>
      </c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>
        <f>P318/P$322</f>
        <v>7.5642661340741352E-2</v>
      </c>
      <c r="Q324" s="35"/>
      <c r="R324" s="35">
        <f>R318/R$322</f>
        <v>0.12692929841412526</v>
      </c>
      <c r="T324" s="35">
        <f t="shared" ref="T324:AA324" si="207">T318/T$322</f>
        <v>0.14486677366574796</v>
      </c>
      <c r="U324" s="35">
        <f t="shared" si="207"/>
        <v>0.14370163661601165</v>
      </c>
      <c r="V324" s="35">
        <f t="shared" si="207"/>
        <v>0.12513421067287306</v>
      </c>
      <c r="W324" s="35">
        <f t="shared" si="207"/>
        <v>0.12171141954526689</v>
      </c>
      <c r="X324" s="35">
        <f t="shared" si="207"/>
        <v>0.12160690236764295</v>
      </c>
      <c r="Y324" s="35">
        <f t="shared" si="207"/>
        <v>0.15171017435949882</v>
      </c>
      <c r="Z324" s="35">
        <f t="shared" si="207"/>
        <v>0.1499190333759188</v>
      </c>
      <c r="AA324" s="35">
        <f t="shared" si="207"/>
        <v>0.15544292458650774</v>
      </c>
      <c r="AB324" s="35">
        <f t="shared" ref="AB324:AG324" si="208">AB318/AB$322</f>
        <v>0.12253549154998855</v>
      </c>
      <c r="AC324" s="35">
        <f t="shared" si="208"/>
        <v>0.10116363112442121</v>
      </c>
      <c r="AD324" s="35">
        <f t="shared" si="208"/>
        <v>0.10535732374834515</v>
      </c>
      <c r="AE324" s="35">
        <f t="shared" si="208"/>
        <v>0.12227577725127055</v>
      </c>
      <c r="AF324" s="35">
        <f t="shared" si="208"/>
        <v>0.13434685940764868</v>
      </c>
      <c r="AG324" s="35">
        <f t="shared" si="208"/>
        <v>0.12721033268721074</v>
      </c>
      <c r="AH324" s="35">
        <f t="shared" ref="AH324:AM324" si="209">AH318/AH$322</f>
        <v>0.11841660150852962</v>
      </c>
      <c r="AI324" s="35">
        <f t="shared" si="209"/>
        <v>0.1256090887848394</v>
      </c>
      <c r="AJ324" s="35">
        <f t="shared" si="209"/>
        <v>0.1169297677704671</v>
      </c>
      <c r="AK324" s="35">
        <f t="shared" si="209"/>
        <v>8.2466068711217949E-2</v>
      </c>
      <c r="AL324" s="35">
        <f t="shared" si="209"/>
        <v>7.521707099025865E-2</v>
      </c>
      <c r="AM324" s="35">
        <f t="shared" si="209"/>
        <v>6.6219744999913732E-2</v>
      </c>
      <c r="AN324" s="35">
        <f t="shared" ref="AN324:AO324" si="210">AN318/AN$322</f>
        <v>8.620931302200438E-2</v>
      </c>
      <c r="AO324" s="35">
        <f t="shared" si="210"/>
        <v>9.2062938974697819E-2</v>
      </c>
      <c r="AP324" s="35">
        <f t="shared" ref="AP324:AQ324" si="211">AP318/AP$322</f>
        <v>0.10297211841459712</v>
      </c>
      <c r="AQ324" s="35">
        <f t="shared" si="211"/>
        <v>0.10513397965512553</v>
      </c>
      <c r="AR324" s="35">
        <f t="shared" ref="AR324" si="212">AR318/AR$322</f>
        <v>0.1032081778463064</v>
      </c>
      <c r="AS324" s="35">
        <f t="shared" ref="AS324:AX324" si="213">AS318/AS$322</f>
        <v>0.10328750446893406</v>
      </c>
      <c r="AT324" s="35">
        <f t="shared" si="213"/>
        <v>0.10049358335347189</v>
      </c>
      <c r="AU324" s="35">
        <f t="shared" si="213"/>
        <v>0.10192104523019456</v>
      </c>
      <c r="AV324" s="35">
        <f t="shared" si="213"/>
        <v>9.4292279813108601E-2</v>
      </c>
      <c r="AW324" s="35">
        <f t="shared" si="213"/>
        <v>9.1556678822548629E-2</v>
      </c>
      <c r="AX324" s="35">
        <f t="shared" si="213"/>
        <v>9.1990287661274775E-2</v>
      </c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</row>
    <row r="325" spans="2:63" x14ac:dyDescent="0.2">
      <c r="C325" s="9" t="s">
        <v>129</v>
      </c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>
        <f>P320/P$322</f>
        <v>0.11358422138045947</v>
      </c>
      <c r="Q325" s="35"/>
      <c r="R325" s="35">
        <f>R320/R$322</f>
        <v>0.15988565092503657</v>
      </c>
      <c r="T325" s="35">
        <f t="shared" ref="T325:Z325" si="214">T320/T$322</f>
        <v>0.14486677366574796</v>
      </c>
      <c r="U325" s="35">
        <f t="shared" si="214"/>
        <v>0.19543364818983086</v>
      </c>
      <c r="V325" s="35">
        <f t="shared" si="214"/>
        <v>0.1471415231308614</v>
      </c>
      <c r="W325" s="35">
        <f t="shared" si="214"/>
        <v>0.14038819433559471</v>
      </c>
      <c r="X325" s="35">
        <f t="shared" si="214"/>
        <v>0.13796731397629688</v>
      </c>
      <c r="Y325" s="35">
        <f t="shared" si="214"/>
        <v>0.15171017435949882</v>
      </c>
      <c r="Z325" s="35">
        <f t="shared" si="214"/>
        <v>0.1499190333759188</v>
      </c>
      <c r="AA325" s="35">
        <f t="shared" ref="AA325:AF325" si="215">AA320/AA$322</f>
        <v>0.15544292458650774</v>
      </c>
      <c r="AB325" s="35">
        <f t="shared" si="215"/>
        <v>0.14738614731293015</v>
      </c>
      <c r="AC325" s="35">
        <f t="shared" si="215"/>
        <v>0.12662434561087269</v>
      </c>
      <c r="AD325" s="35">
        <f t="shared" si="215"/>
        <v>0.12548929198933914</v>
      </c>
      <c r="AE325" s="35">
        <f t="shared" si="215"/>
        <v>0.14630847093860966</v>
      </c>
      <c r="AF325" s="35">
        <f t="shared" si="215"/>
        <v>0.15635963444650175</v>
      </c>
      <c r="AG325" s="35">
        <f t="shared" ref="AG325:AL325" si="216">AG320/AG$322</f>
        <v>0.14880575633077711</v>
      </c>
      <c r="AH325" s="35">
        <f t="shared" si="216"/>
        <v>0.13640024733244033</v>
      </c>
      <c r="AI325" s="35">
        <f t="shared" si="216"/>
        <v>0.1429933715286302</v>
      </c>
      <c r="AJ325" s="35">
        <f t="shared" si="216"/>
        <v>0.13122540033119617</v>
      </c>
      <c r="AK325" s="35">
        <f t="shared" si="216"/>
        <v>9.7608751258764462E-2</v>
      </c>
      <c r="AL325" s="35">
        <f t="shared" si="216"/>
        <v>8.7633157973695502E-2</v>
      </c>
      <c r="AM325" s="35">
        <f t="shared" ref="AM325:AN325" si="217">AM320/AM$322</f>
        <v>8.0607774224551496E-2</v>
      </c>
      <c r="AN325" s="35">
        <f t="shared" si="217"/>
        <v>0.10135397892933214</v>
      </c>
      <c r="AO325" s="35">
        <f t="shared" ref="AO325:AP325" si="218">AO320/AO$322</f>
        <v>0.10844592183875663</v>
      </c>
      <c r="AP325" s="35">
        <f t="shared" si="218"/>
        <v>0.12070207493560069</v>
      </c>
      <c r="AQ325" s="35">
        <f t="shared" ref="AQ325:AR325" si="219">AQ320/AQ$322</f>
        <v>0.11415467942063211</v>
      </c>
      <c r="AR325" s="35">
        <f t="shared" si="219"/>
        <v>0.11151509607982134</v>
      </c>
      <c r="AS325" s="35">
        <f t="shared" ref="AS325:AT325" si="220">AS320/AS$322</f>
        <v>0.11092351011610095</v>
      </c>
      <c r="AT325" s="35">
        <f t="shared" si="220"/>
        <v>0.10737026995730627</v>
      </c>
      <c r="AU325" s="35">
        <f t="shared" ref="AU325:AV325" si="221">AU320/AU$322</f>
        <v>0.1090770170106662</v>
      </c>
      <c r="AV325" s="35">
        <f t="shared" si="221"/>
        <v>0.10108237631544474</v>
      </c>
      <c r="AW325" s="35">
        <f t="shared" ref="AW325:AX325" si="222">AW320/AW$322</f>
        <v>9.731077120262778E-2</v>
      </c>
      <c r="AX325" s="35">
        <f t="shared" si="222"/>
        <v>0.10462330620625918</v>
      </c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</row>
    <row r="326" spans="2:63" x14ac:dyDescent="0.2">
      <c r="C326" s="9"/>
      <c r="O326" s="9"/>
      <c r="Q326" s="9"/>
      <c r="X326" s="9"/>
      <c r="Y326" s="9"/>
      <c r="AA326" s="9"/>
      <c r="AB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</row>
    <row r="327" spans="2:63" x14ac:dyDescent="0.2">
      <c r="C327" s="9" t="s">
        <v>24</v>
      </c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7">
        <v>8.5300000000000001E-2</v>
      </c>
      <c r="Q327" s="37"/>
      <c r="R327" s="37">
        <v>9.1800000000000007E-2</v>
      </c>
      <c r="S327" s="26"/>
      <c r="T327" s="37">
        <v>0.10026</v>
      </c>
      <c r="U327" s="37">
        <v>9.7009999999999999E-2</v>
      </c>
      <c r="V327" s="37">
        <v>8.0100000000000005E-2</v>
      </c>
      <c r="W327" s="37">
        <v>8.8029999999999997E-2</v>
      </c>
      <c r="X327" s="37">
        <v>9.4420000000000004E-2</v>
      </c>
      <c r="Y327" s="37">
        <v>8.8980000000000004E-2</v>
      </c>
      <c r="Z327" s="37">
        <v>9.7850000000000006E-2</v>
      </c>
      <c r="AA327" s="37">
        <v>9.1480000000000006E-2</v>
      </c>
      <c r="AB327" s="37">
        <v>9.2499999999999999E-2</v>
      </c>
      <c r="AC327" s="37">
        <v>9.2689999999999995E-2</v>
      </c>
      <c r="AD327" s="37">
        <v>0.10074</v>
      </c>
      <c r="AE327" s="37">
        <v>0.11058999999999999</v>
      </c>
      <c r="AF327" s="37">
        <v>0.10682999999999999</v>
      </c>
      <c r="AG327" s="37">
        <v>0.10149</v>
      </c>
      <c r="AH327" s="37">
        <v>9.7299999999999998E-2</v>
      </c>
      <c r="AI327" s="37">
        <v>9.5579999999999998E-2</v>
      </c>
      <c r="AJ327" s="37">
        <v>9.3160000000000007E-2</v>
      </c>
      <c r="AK327" s="37">
        <v>9.8229999999999998E-2</v>
      </c>
      <c r="AL327" s="37">
        <v>8.166000000000001E-2</v>
      </c>
      <c r="AM327" s="37">
        <v>8.9019999999999988E-2</v>
      </c>
      <c r="AN327" s="37">
        <v>9.4450000000000006E-2</v>
      </c>
      <c r="AO327" s="37">
        <v>8.3640000000000006E-2</v>
      </c>
      <c r="AP327" s="37">
        <v>8.6410000000000001E-2</v>
      </c>
      <c r="AQ327" s="37">
        <v>8.8079999999999992E-2</v>
      </c>
      <c r="AR327" s="37">
        <v>9.0370000000000006E-2</v>
      </c>
      <c r="AS327" s="37">
        <v>9.2759999999999995E-2</v>
      </c>
      <c r="AT327" s="37">
        <v>8.7050000000000002E-2</v>
      </c>
      <c r="AU327" s="37">
        <v>8.6319999999999994E-2</v>
      </c>
      <c r="AV327" s="37">
        <v>7.6479999999999992E-2</v>
      </c>
      <c r="AW327" s="37">
        <v>7.4160000000000004E-2</v>
      </c>
      <c r="AX327" s="37">
        <v>7.8539999999999999E-2</v>
      </c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</row>
    <row r="328" spans="2:63" x14ac:dyDescent="0.2">
      <c r="C328" s="9" t="s">
        <v>25</v>
      </c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7">
        <v>0.105</v>
      </c>
      <c r="Q328" s="37"/>
      <c r="R328" s="37">
        <v>9.8599999999999993E-2</v>
      </c>
      <c r="S328" s="26"/>
      <c r="T328" s="37">
        <v>0.11020000000000001</v>
      </c>
      <c r="U328" s="37">
        <v>0.1195</v>
      </c>
      <c r="V328" s="37">
        <v>9.1039999999999996E-2</v>
      </c>
      <c r="W328" s="37">
        <v>9.8919999999999994E-2</v>
      </c>
      <c r="X328" s="37">
        <v>0.10277</v>
      </c>
      <c r="Y328" s="37">
        <v>9.6540000000000001E-2</v>
      </c>
      <c r="Z328" s="37">
        <v>0.10523</v>
      </c>
      <c r="AA328" s="37">
        <v>9.8449999999999996E-2</v>
      </c>
      <c r="AB328" s="37">
        <v>9.8320000000000005E-2</v>
      </c>
      <c r="AC328" s="37">
        <v>0.11521000000000001</v>
      </c>
      <c r="AD328" s="37">
        <v>0.11958000000000001</v>
      </c>
      <c r="AE328" s="37">
        <v>0.13012000000000001</v>
      </c>
      <c r="AF328" s="37">
        <v>0.12619</v>
      </c>
      <c r="AG328" s="37">
        <v>0.11892999999999999</v>
      </c>
      <c r="AH328" s="37">
        <v>0.11326</v>
      </c>
      <c r="AI328" s="37">
        <v>0.10806</v>
      </c>
      <c r="AJ328" s="37">
        <v>0.11083</v>
      </c>
      <c r="AK328" s="37">
        <v>0.12316000000000001</v>
      </c>
      <c r="AL328" s="37">
        <v>0.10191</v>
      </c>
      <c r="AM328" s="37">
        <v>0.10487</v>
      </c>
      <c r="AN328" s="37">
        <v>0.10996</v>
      </c>
      <c r="AO328" s="37">
        <v>9.7810000000000008E-2</v>
      </c>
      <c r="AP328" s="37">
        <v>0.10172</v>
      </c>
      <c r="AQ328" s="37">
        <v>0.10444000000000001</v>
      </c>
      <c r="AR328" s="37">
        <v>0.10404999999999999</v>
      </c>
      <c r="AS328" s="37">
        <v>0.10627</v>
      </c>
      <c r="AT328" s="37">
        <v>0.10203</v>
      </c>
      <c r="AU328" s="37">
        <v>0.10051</v>
      </c>
      <c r="AV328" s="37">
        <v>9.1479999999999992E-2</v>
      </c>
      <c r="AW328" s="37">
        <v>8.6150000000000004E-2</v>
      </c>
      <c r="AX328" s="37">
        <v>8.9800000000000005E-2</v>
      </c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</row>
    <row r="329" spans="2:63" s="30" customFormat="1" x14ac:dyDescent="0.2">
      <c r="B329" s="43"/>
      <c r="C329" s="9" t="s">
        <v>26</v>
      </c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>
        <v>0.1449</v>
      </c>
      <c r="Q329" s="37"/>
      <c r="R329" s="37">
        <v>0.1278</v>
      </c>
      <c r="S329" s="349"/>
      <c r="T329" s="37">
        <v>0.12937000000000001</v>
      </c>
      <c r="U329" s="37">
        <v>0.14846000000000001</v>
      </c>
      <c r="V329" s="37">
        <v>0.12038</v>
      </c>
      <c r="W329" s="37">
        <v>0.13277</v>
      </c>
      <c r="X329" s="37">
        <v>0.12554000000000001</v>
      </c>
      <c r="Y329" s="37">
        <v>0.12015000000000001</v>
      </c>
      <c r="Z329" s="37">
        <v>0.12576000000000001</v>
      </c>
      <c r="AA329" s="37">
        <v>0.12222</v>
      </c>
      <c r="AB329" s="37">
        <v>0.13041</v>
      </c>
      <c r="AC329" s="37">
        <v>0.14630000000000001</v>
      </c>
      <c r="AD329" s="37">
        <v>0.14530000000000001</v>
      </c>
      <c r="AE329" s="37">
        <v>0.15432999999999999</v>
      </c>
      <c r="AF329" s="37">
        <v>0.15273999999999999</v>
      </c>
      <c r="AG329" s="37">
        <v>0.13830000000000001</v>
      </c>
      <c r="AH329" s="37">
        <v>0.13309000000000001</v>
      </c>
      <c r="AI329" s="37">
        <v>0.12698999999999999</v>
      </c>
      <c r="AJ329" s="37">
        <v>0.1258</v>
      </c>
      <c r="AK329" s="37">
        <v>0.14000000000000001</v>
      </c>
      <c r="AL329" s="37">
        <v>0.11855</v>
      </c>
      <c r="AM329" s="37">
        <v>0.12222</v>
      </c>
      <c r="AN329" s="37">
        <v>0.1258</v>
      </c>
      <c r="AO329" s="37">
        <v>0.12175000000000001</v>
      </c>
      <c r="AP329" s="37">
        <v>0.12770000000000001</v>
      </c>
      <c r="AQ329" s="37">
        <v>0.11910999999999999</v>
      </c>
      <c r="AR329" s="37">
        <v>0.12003999999999999</v>
      </c>
      <c r="AS329" s="37">
        <v>0.1152</v>
      </c>
      <c r="AT329" s="37">
        <v>0.11913</v>
      </c>
      <c r="AU329" s="37">
        <v>0.10923999999999999</v>
      </c>
      <c r="AV329" s="37">
        <v>0.10000999999999999</v>
      </c>
      <c r="AW329" s="37">
        <v>9.4120000000000009E-2</v>
      </c>
      <c r="AX329" s="37">
        <v>0.1033</v>
      </c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</row>
    <row r="330" spans="2:63" x14ac:dyDescent="0.2">
      <c r="O330" s="9"/>
      <c r="Q330" s="9"/>
      <c r="AB330" s="9"/>
      <c r="AN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</row>
    <row r="331" spans="2:63" x14ac:dyDescent="0.2">
      <c r="C331" s="4" t="s">
        <v>130</v>
      </c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35"/>
      <c r="P331" s="26">
        <f>P322/P35</f>
        <v>0.75541626953767771</v>
      </c>
      <c r="Q331" s="35"/>
      <c r="R331" s="26">
        <f>R322/R35</f>
        <v>0.77531313624455844</v>
      </c>
      <c r="T331" s="26">
        <f t="shared" ref="T331:AX331" si="223">T322/T35</f>
        <v>0.9298447133353348</v>
      </c>
      <c r="U331" s="26">
        <f t="shared" si="223"/>
        <v>0.83577070686346688</v>
      </c>
      <c r="V331" s="26">
        <f t="shared" si="223"/>
        <v>0.86887538992694358</v>
      </c>
      <c r="W331" s="26">
        <f t="shared" si="223"/>
        <v>1.0497288015007746</v>
      </c>
      <c r="X331" s="26">
        <f t="shared" si="223"/>
        <v>0.89112821530611819</v>
      </c>
      <c r="Y331" s="26">
        <f t="shared" si="223"/>
        <v>0.86233582160068034</v>
      </c>
      <c r="Z331" s="26">
        <f t="shared" si="223"/>
        <v>0.88165702912171595</v>
      </c>
      <c r="AA331" s="26">
        <f t="shared" si="223"/>
        <v>0.87265367166857766</v>
      </c>
      <c r="AB331" s="26">
        <f t="shared" si="223"/>
        <v>0.93845104889560726</v>
      </c>
      <c r="AC331" s="26">
        <f t="shared" si="223"/>
        <v>0.95124640138921623</v>
      </c>
      <c r="AD331" s="26">
        <f t="shared" si="223"/>
        <v>0.94968429111961372</v>
      </c>
      <c r="AE331" s="26">
        <f t="shared" si="223"/>
        <v>0.84731375314713486</v>
      </c>
      <c r="AF331" s="26">
        <f t="shared" si="223"/>
        <v>0.90659718476971196</v>
      </c>
      <c r="AG331" s="26">
        <f t="shared" si="223"/>
        <v>0.87934275275085005</v>
      </c>
      <c r="AH331" s="26">
        <f t="shared" si="223"/>
        <v>0.87048127142465748</v>
      </c>
      <c r="AI331" s="26">
        <f t="shared" si="223"/>
        <v>0.88348245013920412</v>
      </c>
      <c r="AJ331" s="26">
        <f t="shared" si="223"/>
        <v>0.92973475484429491</v>
      </c>
      <c r="AK331" s="26">
        <f t="shared" si="223"/>
        <v>1.0006051981359272</v>
      </c>
      <c r="AL331" s="26">
        <f t="shared" si="223"/>
        <v>0.96769505260840094</v>
      </c>
      <c r="AM331" s="26">
        <f t="shared" si="223"/>
        <v>0.99938890525800117</v>
      </c>
      <c r="AN331" s="35">
        <f t="shared" si="223"/>
        <v>0.92718208710732042</v>
      </c>
      <c r="AO331" s="35">
        <f t="shared" si="223"/>
        <v>0.95002845920165446</v>
      </c>
      <c r="AP331" s="35">
        <f t="shared" si="223"/>
        <v>0.94673617951613287</v>
      </c>
      <c r="AQ331" s="35">
        <f t="shared" si="223"/>
        <v>0.86435046356552703</v>
      </c>
      <c r="AR331" s="35">
        <f t="shared" si="223"/>
        <v>0.86392786419503387</v>
      </c>
      <c r="AS331" s="35">
        <f t="shared" si="223"/>
        <v>0.84802575052683349</v>
      </c>
      <c r="AT331" s="35">
        <f t="shared" si="223"/>
        <v>0.83743506419928626</v>
      </c>
      <c r="AU331" s="35">
        <f t="shared" si="223"/>
        <v>0.84526825662679972</v>
      </c>
      <c r="AV331" s="35">
        <f t="shared" si="223"/>
        <v>0.90556554967825897</v>
      </c>
      <c r="AW331" s="35">
        <f t="shared" si="223"/>
        <v>0.93008647106604647</v>
      </c>
      <c r="AX331" s="35">
        <f t="shared" si="223"/>
        <v>0.92895457754189203</v>
      </c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</row>
    <row r="332" spans="2:63" x14ac:dyDescent="0.2"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35"/>
      <c r="P332" s="26"/>
      <c r="Q332" s="35"/>
      <c r="R332" s="26"/>
      <c r="T332" s="26"/>
      <c r="U332" s="26"/>
      <c r="V332" s="26"/>
      <c r="W332" s="26"/>
      <c r="X332" s="26"/>
      <c r="Y332" s="26"/>
      <c r="Z332" s="26"/>
      <c r="AA332" s="26"/>
      <c r="AB332" s="35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</row>
    <row r="333" spans="2:63" x14ac:dyDescent="0.2">
      <c r="B333" s="42">
        <v>5</v>
      </c>
      <c r="C333" s="41" t="s">
        <v>184</v>
      </c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9"/>
      <c r="BB333" s="43"/>
      <c r="BC333" s="43"/>
      <c r="BD333" s="43"/>
      <c r="BE333" s="43"/>
      <c r="BF333" s="9"/>
      <c r="BG333" s="9"/>
      <c r="BH333" s="9"/>
      <c r="BI333" s="9"/>
      <c r="BJ333" s="9"/>
      <c r="BK333" s="9"/>
    </row>
    <row r="334" spans="2:63" outlineLevel="1" x14ac:dyDescent="0.2"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35"/>
      <c r="P334" s="26"/>
      <c r="Q334" s="35"/>
      <c r="R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BA334" s="9"/>
      <c r="BB334" s="43"/>
      <c r="BC334" s="43"/>
      <c r="BD334" s="43"/>
      <c r="BE334" s="43"/>
      <c r="BF334" s="9"/>
      <c r="BG334" s="9"/>
      <c r="BH334" s="9"/>
      <c r="BI334" s="9"/>
      <c r="BJ334" s="9"/>
      <c r="BK334" s="9"/>
    </row>
    <row r="335" spans="2:63" outlineLevel="1" x14ac:dyDescent="0.2">
      <c r="C335" s="4" t="s">
        <v>9</v>
      </c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35"/>
      <c r="P335" s="26"/>
      <c r="Q335" s="35"/>
      <c r="R335" s="26"/>
      <c r="T335" s="26"/>
      <c r="U335" s="26"/>
      <c r="V335" s="8"/>
      <c r="W335" s="35"/>
      <c r="X335" s="35"/>
      <c r="Y335" s="8"/>
      <c r="Z335" s="8"/>
      <c r="AA335" s="8"/>
      <c r="AB335" s="35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BA335" s="9"/>
      <c r="BB335" s="43"/>
      <c r="BC335" s="43"/>
      <c r="BD335" s="43"/>
      <c r="BE335" s="43"/>
      <c r="BF335" s="9"/>
      <c r="BG335" s="9"/>
      <c r="BH335" s="9"/>
      <c r="BI335" s="9"/>
      <c r="BJ335" s="9"/>
      <c r="BK335" s="9"/>
    </row>
    <row r="336" spans="2:63" outlineLevel="1" x14ac:dyDescent="0.2">
      <c r="C336" s="4" t="s">
        <v>170</v>
      </c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35"/>
      <c r="P336" s="26"/>
      <c r="Q336" s="35"/>
      <c r="R336" s="26"/>
      <c r="T336" s="8">
        <v>26512</v>
      </c>
      <c r="U336" s="26"/>
      <c r="V336" s="8">
        <v>15963</v>
      </c>
      <c r="W336" s="8">
        <v>24905</v>
      </c>
      <c r="X336" s="8">
        <v>33681</v>
      </c>
      <c r="Y336" s="8">
        <v>9864</v>
      </c>
      <c r="Z336" s="8">
        <v>20513</v>
      </c>
      <c r="AA336" s="8">
        <v>32108</v>
      </c>
      <c r="AB336" s="8">
        <v>44502</v>
      </c>
      <c r="AC336" s="8">
        <v>14230</v>
      </c>
      <c r="AD336" s="8">
        <v>28633</v>
      </c>
      <c r="AE336" s="8">
        <v>45201</v>
      </c>
      <c r="AF336" s="8">
        <v>60627</v>
      </c>
      <c r="AG336" s="8">
        <v>17719</v>
      </c>
      <c r="AH336" s="8">
        <v>41820</v>
      </c>
      <c r="AI336" s="8">
        <v>67064</v>
      </c>
      <c r="AJ336" s="8">
        <v>94634</v>
      </c>
      <c r="AK336" s="8">
        <v>27321</v>
      </c>
      <c r="AL336" s="8">
        <v>58114</v>
      </c>
      <c r="AM336" s="8">
        <v>90317</v>
      </c>
      <c r="AN336" s="8">
        <v>123781</v>
      </c>
      <c r="AO336" s="8">
        <v>33378</v>
      </c>
      <c r="AP336" s="8">
        <v>65006</v>
      </c>
      <c r="AQ336" s="8">
        <v>106348</v>
      </c>
      <c r="AR336" s="8">
        <v>149265</v>
      </c>
      <c r="AS336" s="8">
        <v>47932</v>
      </c>
      <c r="AT336" s="8">
        <v>111855</v>
      </c>
      <c r="AU336" s="8">
        <v>185831</v>
      </c>
      <c r="AV336" s="8">
        <v>272928</v>
      </c>
      <c r="AW336" s="8">
        <v>90455</v>
      </c>
      <c r="AX336" s="8">
        <v>183619</v>
      </c>
      <c r="AY336" s="126"/>
      <c r="BA336" s="9"/>
      <c r="BB336" s="43"/>
      <c r="BC336" s="155"/>
      <c r="BD336" s="156"/>
      <c r="BE336" s="43"/>
      <c r="BF336" s="9"/>
      <c r="BG336" s="9"/>
      <c r="BH336" s="9"/>
      <c r="BI336" s="9"/>
      <c r="BJ336" s="9"/>
      <c r="BK336" s="9"/>
    </row>
    <row r="337" spans="3:63" outlineLevel="1" x14ac:dyDescent="0.2">
      <c r="C337" s="4" t="s">
        <v>171</v>
      </c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35"/>
      <c r="P337" s="26"/>
      <c r="Q337" s="35"/>
      <c r="R337" s="26"/>
      <c r="T337" s="8">
        <v>10073</v>
      </c>
      <c r="U337" s="26"/>
      <c r="V337" s="8">
        <v>8239</v>
      </c>
      <c r="W337" s="8">
        <v>11974</v>
      </c>
      <c r="X337" s="8">
        <v>15994</v>
      </c>
      <c r="Y337" s="8">
        <v>4539</v>
      </c>
      <c r="Z337" s="8">
        <v>9119</v>
      </c>
      <c r="AA337" s="8">
        <v>14805</v>
      </c>
      <c r="AB337" s="8">
        <v>20231</v>
      </c>
      <c r="AC337" s="8">
        <v>6171</v>
      </c>
      <c r="AD337" s="8">
        <v>13369</v>
      </c>
      <c r="AE337" s="8">
        <v>19714</v>
      </c>
      <c r="AF337" s="8">
        <v>26812</v>
      </c>
      <c r="AG337" s="8">
        <v>7328</v>
      </c>
      <c r="AH337" s="8">
        <v>16755</v>
      </c>
      <c r="AI337" s="8">
        <v>28963</v>
      </c>
      <c r="AJ337" s="8">
        <v>41192</v>
      </c>
      <c r="AK337" s="8">
        <v>19974</v>
      </c>
      <c r="AL337" s="8">
        <v>42454</v>
      </c>
      <c r="AM337" s="8">
        <v>62581</v>
      </c>
      <c r="AN337" s="8">
        <v>84223</v>
      </c>
      <c r="AO337" s="8">
        <v>21325</v>
      </c>
      <c r="AP337" s="8">
        <v>49590</v>
      </c>
      <c r="AQ337" s="8">
        <v>72819</v>
      </c>
      <c r="AR337" s="8">
        <v>114523</v>
      </c>
      <c r="AS337" s="8">
        <v>45999</v>
      </c>
      <c r="AT337" s="8">
        <v>96203</v>
      </c>
      <c r="AU337" s="8">
        <v>152421</v>
      </c>
      <c r="AV337" s="8">
        <v>219660</v>
      </c>
      <c r="AW337" s="8">
        <v>70241</v>
      </c>
      <c r="AX337" s="8">
        <v>145623</v>
      </c>
      <c r="AY337" s="126"/>
      <c r="BA337" s="9"/>
      <c r="BB337" s="43"/>
      <c r="BC337" s="155"/>
      <c r="BD337" s="156"/>
      <c r="BE337" s="43"/>
      <c r="BF337" s="9"/>
      <c r="BG337" s="9"/>
      <c r="BH337" s="9"/>
      <c r="BI337" s="9"/>
      <c r="BJ337" s="9"/>
      <c r="BK337" s="9"/>
    </row>
    <row r="338" spans="3:63" outlineLevel="1" x14ac:dyDescent="0.2">
      <c r="C338" s="4" t="s">
        <v>172</v>
      </c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35"/>
      <c r="P338" s="26"/>
      <c r="Q338" s="35"/>
      <c r="R338" s="26"/>
      <c r="T338" s="8">
        <v>32138</v>
      </c>
      <c r="U338" s="26"/>
      <c r="V338" s="8">
        <v>16934</v>
      </c>
      <c r="W338" s="8">
        <v>27000</v>
      </c>
      <c r="X338" s="8">
        <v>37748</v>
      </c>
      <c r="Y338" s="8">
        <v>9814</v>
      </c>
      <c r="Z338" s="8">
        <v>19663</v>
      </c>
      <c r="AA338" s="8">
        <v>29003</v>
      </c>
      <c r="AB338" s="8">
        <v>37387</v>
      </c>
      <c r="AC338" s="8">
        <v>10641</v>
      </c>
      <c r="AD338" s="8">
        <v>22127</v>
      </c>
      <c r="AE338" s="8">
        <v>34651</v>
      </c>
      <c r="AF338" s="8">
        <v>45679</v>
      </c>
      <c r="AG338" s="8">
        <v>10249</v>
      </c>
      <c r="AH338" s="8">
        <v>22578</v>
      </c>
      <c r="AI338" s="8">
        <v>33650</v>
      </c>
      <c r="AJ338" s="8">
        <v>47268</v>
      </c>
      <c r="AK338" s="8">
        <v>10711</v>
      </c>
      <c r="AL338" s="8">
        <v>20506</v>
      </c>
      <c r="AM338" s="8">
        <v>29594</v>
      </c>
      <c r="AN338" s="8">
        <v>38071</v>
      </c>
      <c r="AO338" s="8">
        <v>8627</v>
      </c>
      <c r="AP338" s="8">
        <v>15302</v>
      </c>
      <c r="AQ338" s="8">
        <v>31338</v>
      </c>
      <c r="AR338" s="8">
        <v>50924</v>
      </c>
      <c r="AS338" s="8">
        <v>29338</v>
      </c>
      <c r="AT338" s="8">
        <v>59053</v>
      </c>
      <c r="AU338" s="8">
        <v>85766</v>
      </c>
      <c r="AV338" s="8">
        <v>109894</v>
      </c>
      <c r="AW338" s="8">
        <v>23088</v>
      </c>
      <c r="AX338" s="8">
        <v>39942</v>
      </c>
      <c r="BA338" s="9"/>
      <c r="BB338" s="43"/>
      <c r="BC338" s="155"/>
      <c r="BD338" s="156"/>
      <c r="BE338" s="43"/>
      <c r="BF338" s="9"/>
      <c r="BG338" s="9"/>
      <c r="BH338" s="9"/>
      <c r="BI338" s="9"/>
      <c r="BJ338" s="9"/>
      <c r="BK338" s="9"/>
    </row>
    <row r="339" spans="3:63" outlineLevel="1" x14ac:dyDescent="0.2">
      <c r="C339" s="4" t="s">
        <v>13</v>
      </c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35"/>
      <c r="P339" s="26"/>
      <c r="Q339" s="35"/>
      <c r="R339" s="26"/>
      <c r="T339" s="8"/>
      <c r="U339" s="26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BA339" s="9"/>
      <c r="BB339" s="43"/>
      <c r="BC339" s="155"/>
      <c r="BD339" s="156"/>
      <c r="BE339" s="43"/>
      <c r="BF339" s="9"/>
      <c r="BG339" s="9"/>
      <c r="BH339" s="9"/>
      <c r="BI339" s="9"/>
      <c r="BJ339" s="9"/>
      <c r="BK339" s="9"/>
    </row>
    <row r="340" spans="3:63" outlineLevel="1" x14ac:dyDescent="0.2">
      <c r="C340" s="4" t="s">
        <v>170</v>
      </c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35"/>
      <c r="P340" s="26"/>
      <c r="Q340" s="35"/>
      <c r="R340" s="26"/>
      <c r="T340" s="8">
        <v>16004</v>
      </c>
      <c r="U340" s="26"/>
      <c r="V340" s="8">
        <v>7983</v>
      </c>
      <c r="W340" s="8">
        <v>10029</v>
      </c>
      <c r="X340" s="8">
        <v>17654</v>
      </c>
      <c r="Y340" s="8">
        <v>5098</v>
      </c>
      <c r="Z340" s="8">
        <v>11132</v>
      </c>
      <c r="AA340" s="8">
        <v>17668</v>
      </c>
      <c r="AB340" s="8">
        <v>23864</v>
      </c>
      <c r="AC340" s="8">
        <v>5625</v>
      </c>
      <c r="AD340" s="8">
        <v>9614</v>
      </c>
      <c r="AE340" s="8">
        <v>16105</v>
      </c>
      <c r="AF340" s="8">
        <v>20630</v>
      </c>
      <c r="AG340" s="8">
        <v>4713</v>
      </c>
      <c r="AH340" s="8">
        <v>13755</v>
      </c>
      <c r="AI340" s="8">
        <v>20747</v>
      </c>
      <c r="AJ340" s="8">
        <v>29783</v>
      </c>
      <c r="AK340" s="8">
        <v>3046</v>
      </c>
      <c r="AL340" s="8">
        <v>5916</v>
      </c>
      <c r="AM340" s="8">
        <v>11432</v>
      </c>
      <c r="AN340" s="8">
        <v>10754</v>
      </c>
      <c r="AO340" s="8">
        <v>2480</v>
      </c>
      <c r="AP340" s="8">
        <v>6411</v>
      </c>
      <c r="AQ340" s="8">
        <v>7356</v>
      </c>
      <c r="AR340" s="8">
        <v>8314</v>
      </c>
      <c r="AS340" s="8">
        <v>611</v>
      </c>
      <c r="AT340" s="8">
        <v>4612</v>
      </c>
      <c r="AU340" s="310">
        <v>12178</v>
      </c>
      <c r="AV340" s="8">
        <v>10478</v>
      </c>
      <c r="AW340" s="8">
        <v>2024</v>
      </c>
      <c r="AX340" s="8">
        <v>4340</v>
      </c>
      <c r="AY340" s="126"/>
      <c r="BA340" s="9"/>
      <c r="BB340" s="43"/>
      <c r="BC340" s="155"/>
      <c r="BD340" s="43"/>
      <c r="BE340" s="43"/>
      <c r="BF340" s="9"/>
      <c r="BG340" s="9"/>
      <c r="BH340" s="9"/>
      <c r="BI340" s="9"/>
      <c r="BJ340" s="9"/>
      <c r="BK340" s="9"/>
    </row>
    <row r="341" spans="3:63" outlineLevel="1" x14ac:dyDescent="0.2">
      <c r="C341" s="4" t="s">
        <v>171</v>
      </c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35"/>
      <c r="P341" s="26"/>
      <c r="Q341" s="35"/>
      <c r="R341" s="26"/>
      <c r="T341" s="8">
        <v>4204</v>
      </c>
      <c r="U341" s="26"/>
      <c r="V341" s="8">
        <v>2429</v>
      </c>
      <c r="W341" s="8">
        <v>3690</v>
      </c>
      <c r="X341" s="8">
        <v>6870</v>
      </c>
      <c r="Y341" s="8">
        <v>1682</v>
      </c>
      <c r="Z341" s="8">
        <v>3971</v>
      </c>
      <c r="AA341" s="8">
        <v>5903</v>
      </c>
      <c r="AB341" s="8">
        <v>8589</v>
      </c>
      <c r="AC341" s="8">
        <v>2168</v>
      </c>
      <c r="AD341" s="8">
        <v>4549</v>
      </c>
      <c r="AE341" s="8">
        <v>7009</v>
      </c>
      <c r="AF341" s="8">
        <v>10007</v>
      </c>
      <c r="AG341" s="8">
        <v>2678</v>
      </c>
      <c r="AH341" s="8">
        <v>5683</v>
      </c>
      <c r="AI341" s="8">
        <v>9810</v>
      </c>
      <c r="AJ341" s="8">
        <v>14235</v>
      </c>
      <c r="AK341" s="8">
        <v>4019</v>
      </c>
      <c r="AL341" s="8">
        <v>8205</v>
      </c>
      <c r="AM341" s="8">
        <v>11465</v>
      </c>
      <c r="AN341" s="8">
        <v>19800</v>
      </c>
      <c r="AO341" s="8">
        <v>5542</v>
      </c>
      <c r="AP341" s="8">
        <v>9526</v>
      </c>
      <c r="AQ341" s="8">
        <v>18801</v>
      </c>
      <c r="AR341" s="8">
        <v>25368</v>
      </c>
      <c r="AS341" s="8">
        <v>7111</v>
      </c>
      <c r="AT341" s="8">
        <v>16178</v>
      </c>
      <c r="AU341" s="310">
        <v>25415</v>
      </c>
      <c r="AV341" s="8">
        <v>36883</v>
      </c>
      <c r="AW341" s="8">
        <v>9884</v>
      </c>
      <c r="AX341" s="8">
        <v>21599</v>
      </c>
      <c r="AY341" s="126"/>
      <c r="BA341" s="9"/>
      <c r="BB341" s="43"/>
      <c r="BC341" s="43"/>
      <c r="BD341" s="43"/>
      <c r="BE341" s="43"/>
      <c r="BF341" s="9"/>
      <c r="BG341" s="9"/>
      <c r="BH341" s="9"/>
      <c r="BI341" s="9"/>
      <c r="BJ341" s="9"/>
      <c r="BK341" s="9"/>
    </row>
    <row r="342" spans="3:63" outlineLevel="1" x14ac:dyDescent="0.2">
      <c r="C342" s="4" t="s">
        <v>172</v>
      </c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35"/>
      <c r="P342" s="26"/>
      <c r="Q342" s="35"/>
      <c r="R342" s="26"/>
      <c r="T342" s="8">
        <v>74</v>
      </c>
      <c r="U342" s="26"/>
      <c r="V342" s="8">
        <v>660</v>
      </c>
      <c r="W342" s="8">
        <v>4065</v>
      </c>
      <c r="X342" s="8">
        <v>11</v>
      </c>
      <c r="Y342" s="8">
        <v>55</v>
      </c>
      <c r="Z342" s="8">
        <v>105</v>
      </c>
      <c r="AA342" s="8">
        <v>172</v>
      </c>
      <c r="AB342" s="8">
        <v>186</v>
      </c>
      <c r="AC342" s="8">
        <v>26</v>
      </c>
      <c r="AD342" s="8">
        <v>529</v>
      </c>
      <c r="AE342" s="8">
        <v>962</v>
      </c>
      <c r="AF342" s="8">
        <v>1351</v>
      </c>
      <c r="AG342" s="8">
        <v>668</v>
      </c>
      <c r="AH342" s="8">
        <v>153</v>
      </c>
      <c r="AI342" s="8">
        <v>565</v>
      </c>
      <c r="AJ342" s="8">
        <v>1477</v>
      </c>
      <c r="AK342" s="8">
        <v>497</v>
      </c>
      <c r="AL342" s="8">
        <v>1297</v>
      </c>
      <c r="AM342" s="8">
        <v>1627</v>
      </c>
      <c r="AN342" s="8">
        <v>3676</v>
      </c>
      <c r="AO342" s="8">
        <v>481</v>
      </c>
      <c r="AP342" s="8">
        <v>1201</v>
      </c>
      <c r="AQ342" s="8">
        <v>289</v>
      </c>
      <c r="AR342" s="8">
        <v>1184</v>
      </c>
      <c r="AS342" s="8">
        <v>858</v>
      </c>
      <c r="AT342" s="8">
        <v>506</v>
      </c>
      <c r="AU342" s="310">
        <v>858</v>
      </c>
      <c r="AV342" s="8">
        <v>1249</v>
      </c>
      <c r="AW342" s="8">
        <v>199</v>
      </c>
      <c r="AX342" s="8">
        <v>622</v>
      </c>
      <c r="AY342" s="126"/>
      <c r="BA342" s="9"/>
      <c r="BB342" s="43"/>
      <c r="BC342" s="43"/>
      <c r="BD342" s="43"/>
      <c r="BE342" s="43"/>
      <c r="BF342" s="9"/>
      <c r="BG342" s="9"/>
      <c r="BH342" s="9"/>
      <c r="BI342" s="9"/>
      <c r="BJ342" s="9"/>
      <c r="BK342" s="9"/>
    </row>
    <row r="343" spans="3:63" outlineLevel="1" x14ac:dyDescent="0.2">
      <c r="C343" s="4" t="s">
        <v>173</v>
      </c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35"/>
      <c r="P343" s="26"/>
      <c r="Q343" s="35"/>
      <c r="R343" s="26"/>
      <c r="T343" s="8"/>
      <c r="U343" s="26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Z343" s="4" t="s">
        <v>460</v>
      </c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</row>
    <row r="344" spans="3:63" outlineLevel="1" x14ac:dyDescent="0.2">
      <c r="C344" s="4" t="s">
        <v>170</v>
      </c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35"/>
      <c r="P344" s="26"/>
      <c r="Q344" s="35"/>
      <c r="R344" s="26"/>
      <c r="T344" s="8">
        <v>0</v>
      </c>
      <c r="U344" s="26"/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  <c r="AC344" s="8">
        <v>0</v>
      </c>
      <c r="AD344" s="8">
        <v>0</v>
      </c>
      <c r="AE344" s="8">
        <v>0</v>
      </c>
      <c r="AF344" s="8">
        <v>0</v>
      </c>
      <c r="AG344" s="8">
        <v>0</v>
      </c>
      <c r="AH344" s="8">
        <v>0</v>
      </c>
      <c r="AI344" s="8">
        <v>0</v>
      </c>
      <c r="AJ344" s="8">
        <v>0</v>
      </c>
      <c r="AK344" s="8">
        <v>0</v>
      </c>
      <c r="AL344" s="8">
        <v>0</v>
      </c>
      <c r="AM344" s="8">
        <v>0</v>
      </c>
      <c r="AN344" s="8">
        <v>0</v>
      </c>
      <c r="AO344" s="8">
        <v>2465</v>
      </c>
      <c r="AP344" s="8">
        <v>4175</v>
      </c>
      <c r="AQ344" s="8">
        <v>2794</v>
      </c>
      <c r="AR344" s="8">
        <v>3308</v>
      </c>
      <c r="AS344" s="8">
        <v>662</v>
      </c>
      <c r="AT344" s="8">
        <v>74</v>
      </c>
      <c r="AU344" s="8">
        <v>-2417</v>
      </c>
      <c r="AV344" s="8">
        <v>0</v>
      </c>
      <c r="AW344" s="8">
        <v>5240</v>
      </c>
      <c r="AX344" s="8">
        <v>8408</v>
      </c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</row>
    <row r="345" spans="3:63" outlineLevel="1" x14ac:dyDescent="0.2">
      <c r="C345" s="4" t="s">
        <v>171</v>
      </c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35"/>
      <c r="P345" s="26"/>
      <c r="Q345" s="35"/>
      <c r="R345" s="26"/>
      <c r="T345" s="8">
        <v>267</v>
      </c>
      <c r="U345" s="26"/>
      <c r="V345" s="8">
        <v>280</v>
      </c>
      <c r="W345" s="8">
        <v>0</v>
      </c>
      <c r="X345" s="8">
        <v>0</v>
      </c>
      <c r="Y345" s="8">
        <v>0</v>
      </c>
      <c r="Z345" s="8">
        <v>147</v>
      </c>
      <c r="AA345" s="8">
        <v>167</v>
      </c>
      <c r="AB345" s="8">
        <v>667</v>
      </c>
      <c r="AC345" s="8">
        <v>0</v>
      </c>
      <c r="AD345" s="8">
        <v>0</v>
      </c>
      <c r="AE345" s="8">
        <v>0</v>
      </c>
      <c r="AF345" s="8">
        <v>0</v>
      </c>
      <c r="AG345" s="8">
        <v>0</v>
      </c>
      <c r="AH345" s="8">
        <v>0</v>
      </c>
      <c r="AI345" s="8">
        <v>0</v>
      </c>
      <c r="AJ345" s="8">
        <v>0</v>
      </c>
      <c r="AK345" s="8">
        <v>0</v>
      </c>
      <c r="AL345" s="8">
        <v>0</v>
      </c>
      <c r="AM345" s="8">
        <v>0</v>
      </c>
      <c r="AN345" s="8">
        <v>0</v>
      </c>
      <c r="AO345" s="8">
        <v>45</v>
      </c>
      <c r="AP345" s="8">
        <v>41</v>
      </c>
      <c r="AQ345" s="8">
        <v>-3587</v>
      </c>
      <c r="AR345" s="8">
        <v>-530</v>
      </c>
      <c r="AS345" s="8">
        <v>-386</v>
      </c>
      <c r="AT345" s="8">
        <v>-890</v>
      </c>
      <c r="AU345" s="8">
        <v>-3007</v>
      </c>
      <c r="AV345" s="8">
        <v>0</v>
      </c>
      <c r="AW345" s="8">
        <v>944</v>
      </c>
      <c r="AX345" s="8">
        <v>951</v>
      </c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</row>
    <row r="346" spans="3:63" outlineLevel="1" x14ac:dyDescent="0.2">
      <c r="C346" s="4" t="s">
        <v>172</v>
      </c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35"/>
      <c r="P346" s="26"/>
      <c r="Q346" s="35"/>
      <c r="R346" s="26"/>
      <c r="T346" s="8">
        <v>11300</v>
      </c>
      <c r="U346" s="26"/>
      <c r="V346" s="8">
        <v>0</v>
      </c>
      <c r="W346" s="8">
        <v>0</v>
      </c>
      <c r="X346" s="8">
        <v>0</v>
      </c>
      <c r="Y346" s="8">
        <v>9</v>
      </c>
      <c r="Z346" s="8">
        <v>1073</v>
      </c>
      <c r="AA346" s="8">
        <v>1408</v>
      </c>
      <c r="AB346" s="8">
        <v>4279</v>
      </c>
      <c r="AC346" s="8">
        <v>0</v>
      </c>
      <c r="AD346" s="8">
        <v>0</v>
      </c>
      <c r="AE346" s="8">
        <v>0</v>
      </c>
      <c r="AF346" s="8">
        <v>0</v>
      </c>
      <c r="AG346" s="8">
        <v>0</v>
      </c>
      <c r="AH346" s="8">
        <v>0</v>
      </c>
      <c r="AI346" s="8">
        <v>0</v>
      </c>
      <c r="AJ346" s="8">
        <v>0</v>
      </c>
      <c r="AK346" s="8">
        <v>0</v>
      </c>
      <c r="AL346" s="8">
        <v>0</v>
      </c>
      <c r="AM346" s="8">
        <v>0</v>
      </c>
      <c r="AN346" s="8">
        <v>0</v>
      </c>
      <c r="AO346" s="8">
        <v>8809</v>
      </c>
      <c r="AP346" s="8">
        <v>22191</v>
      </c>
      <c r="AQ346" s="8">
        <v>25804</v>
      </c>
      <c r="AR346" s="8">
        <v>28722</v>
      </c>
      <c r="AS346" s="8">
        <v>4587</v>
      </c>
      <c r="AT346" s="8">
        <v>6383</v>
      </c>
      <c r="AU346" s="8">
        <v>2189</v>
      </c>
      <c r="AV346" s="8">
        <v>40626</v>
      </c>
      <c r="AW346" s="8">
        <v>9242</v>
      </c>
      <c r="AX346" s="8">
        <v>14007</v>
      </c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</row>
    <row r="347" spans="3:63" outlineLevel="1" x14ac:dyDescent="0.2">
      <c r="C347" s="4" t="s">
        <v>174</v>
      </c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35"/>
      <c r="P347" s="26"/>
      <c r="Q347" s="35"/>
      <c r="R347" s="26"/>
      <c r="T347" s="8"/>
      <c r="U347" s="26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</row>
    <row r="348" spans="3:63" outlineLevel="1" x14ac:dyDescent="0.2">
      <c r="C348" s="4" t="s">
        <v>170</v>
      </c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35"/>
      <c r="P348" s="26"/>
      <c r="Q348" s="35"/>
      <c r="R348" s="26"/>
      <c r="T348" s="8">
        <v>0</v>
      </c>
      <c r="U348" s="26"/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D348" s="8">
        <v>29</v>
      </c>
      <c r="AE348" s="8">
        <v>45</v>
      </c>
      <c r="AF348" s="8">
        <v>45</v>
      </c>
      <c r="AG348" s="8">
        <v>0</v>
      </c>
      <c r="AH348" s="8">
        <v>0</v>
      </c>
      <c r="AI348" s="8">
        <v>0</v>
      </c>
      <c r="AJ348" s="8">
        <v>0</v>
      </c>
      <c r="AK348" s="8">
        <v>0</v>
      </c>
      <c r="AL348" s="8">
        <v>0</v>
      </c>
      <c r="AM348" s="8">
        <v>0</v>
      </c>
      <c r="AN348" s="8">
        <v>0</v>
      </c>
      <c r="AO348" s="8">
        <v>0</v>
      </c>
      <c r="AP348" s="8">
        <v>0</v>
      </c>
      <c r="AQ348" s="8">
        <v>0</v>
      </c>
      <c r="AR348" s="8">
        <v>0</v>
      </c>
      <c r="AS348" s="8">
        <v>0</v>
      </c>
      <c r="AT348" s="8">
        <v>0</v>
      </c>
      <c r="AU348" s="8">
        <v>0</v>
      </c>
      <c r="AV348" s="8">
        <v>0</v>
      </c>
      <c r="AW348" s="8">
        <v>70</v>
      </c>
      <c r="AX348" s="8">
        <v>0</v>
      </c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</row>
    <row r="349" spans="3:63" outlineLevel="1" x14ac:dyDescent="0.2">
      <c r="C349" s="4" t="s">
        <v>171</v>
      </c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35"/>
      <c r="P349" s="26"/>
      <c r="Q349" s="35"/>
      <c r="R349" s="26"/>
      <c r="T349" s="8">
        <v>0</v>
      </c>
      <c r="U349" s="26"/>
      <c r="V349" s="8">
        <v>586</v>
      </c>
      <c r="W349" s="8">
        <v>591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D349" s="8">
        <v>0</v>
      </c>
      <c r="AE349" s="8">
        <v>0</v>
      </c>
      <c r="AF349" s="8">
        <v>0</v>
      </c>
      <c r="AG349" s="8">
        <v>0</v>
      </c>
      <c r="AH349" s="8">
        <v>0</v>
      </c>
      <c r="AI349" s="8">
        <v>0</v>
      </c>
      <c r="AJ349" s="8">
        <v>0</v>
      </c>
      <c r="AK349" s="8">
        <v>0</v>
      </c>
      <c r="AL349" s="8">
        <v>0</v>
      </c>
      <c r="AM349" s="8">
        <v>0</v>
      </c>
      <c r="AN349" s="8">
        <v>0</v>
      </c>
      <c r="AO349" s="8">
        <v>0</v>
      </c>
      <c r="AP349" s="8">
        <v>0</v>
      </c>
      <c r="AQ349" s="8">
        <v>0</v>
      </c>
      <c r="AR349" s="8">
        <v>0</v>
      </c>
      <c r="AS349" s="8">
        <v>0</v>
      </c>
      <c r="AT349" s="8">
        <v>0</v>
      </c>
      <c r="AU349" s="8">
        <v>0</v>
      </c>
      <c r="AV349" s="8">
        <v>0</v>
      </c>
      <c r="AW349" s="8">
        <v>0</v>
      </c>
      <c r="AX349" s="8">
        <v>0</v>
      </c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</row>
    <row r="350" spans="3:63" outlineLevel="1" x14ac:dyDescent="0.2">
      <c r="C350" s="4" t="s">
        <v>172</v>
      </c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35"/>
      <c r="P350" s="26"/>
      <c r="Q350" s="35"/>
      <c r="R350" s="26"/>
      <c r="T350" s="8">
        <v>0</v>
      </c>
      <c r="U350" s="26"/>
      <c r="V350" s="8">
        <v>0</v>
      </c>
      <c r="W350" s="8">
        <v>0</v>
      </c>
      <c r="X350" s="8">
        <v>657</v>
      </c>
      <c r="Y350" s="8">
        <v>0</v>
      </c>
      <c r="Z350" s="8">
        <v>0</v>
      </c>
      <c r="AA350" s="8">
        <v>0</v>
      </c>
      <c r="AB350" s="8">
        <v>0</v>
      </c>
      <c r="AC350" s="8">
        <v>1</v>
      </c>
      <c r="AD350" s="8">
        <v>0</v>
      </c>
      <c r="AE350" s="8">
        <v>1</v>
      </c>
      <c r="AF350" s="8">
        <v>59</v>
      </c>
      <c r="AG350" s="8">
        <v>137</v>
      </c>
      <c r="AH350" s="8">
        <v>0</v>
      </c>
      <c r="AI350" s="8">
        <v>0</v>
      </c>
      <c r="AJ350" s="8">
        <v>0</v>
      </c>
      <c r="AK350" s="8">
        <v>0</v>
      </c>
      <c r="AL350" s="8">
        <v>0</v>
      </c>
      <c r="AM350" s="8">
        <v>0</v>
      </c>
      <c r="AN350" s="8">
        <v>0</v>
      </c>
      <c r="AO350" s="8">
        <v>0</v>
      </c>
      <c r="AP350" s="8">
        <v>0</v>
      </c>
      <c r="AQ350" s="8">
        <v>0</v>
      </c>
      <c r="AR350" s="8">
        <v>0</v>
      </c>
      <c r="AS350" s="8">
        <v>0</v>
      </c>
      <c r="AT350" s="8">
        <v>0</v>
      </c>
      <c r="AU350" s="8">
        <v>0</v>
      </c>
      <c r="AV350" s="8">
        <v>0</v>
      </c>
      <c r="AW350" s="8">
        <v>-4</v>
      </c>
      <c r="AX350" s="8">
        <v>0</v>
      </c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</row>
    <row r="351" spans="3:63" outlineLevel="1" x14ac:dyDescent="0.2">
      <c r="C351" s="4" t="s">
        <v>257</v>
      </c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35"/>
      <c r="P351" s="26"/>
      <c r="Q351" s="35"/>
      <c r="R351" s="26"/>
      <c r="T351" s="8"/>
      <c r="U351" s="26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</row>
    <row r="352" spans="3:63" outlineLevel="1" x14ac:dyDescent="0.2">
      <c r="C352" s="4" t="s">
        <v>170</v>
      </c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35"/>
      <c r="P352" s="26"/>
      <c r="Q352" s="35"/>
      <c r="R352" s="26"/>
      <c r="T352" s="8">
        <v>0</v>
      </c>
      <c r="U352" s="26"/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D352" s="8">
        <v>0</v>
      </c>
      <c r="AE352" s="8">
        <v>0</v>
      </c>
      <c r="AF352" s="8">
        <v>0</v>
      </c>
      <c r="AG352" s="8">
        <v>0</v>
      </c>
      <c r="AH352" s="8">
        <v>0</v>
      </c>
      <c r="AI352" s="8">
        <v>0</v>
      </c>
      <c r="AJ352" s="8">
        <v>0</v>
      </c>
      <c r="AK352" s="8">
        <v>0</v>
      </c>
      <c r="AL352" s="8">
        <v>0</v>
      </c>
      <c r="AM352" s="8">
        <v>0</v>
      </c>
      <c r="AN352" s="8">
        <v>0</v>
      </c>
      <c r="AO352" s="8">
        <v>0</v>
      </c>
      <c r="AP352" s="8">
        <v>0</v>
      </c>
      <c r="AQ352" s="8">
        <v>0</v>
      </c>
      <c r="AR352" s="8">
        <v>0</v>
      </c>
      <c r="AS352" s="8">
        <v>0</v>
      </c>
      <c r="AT352" s="8">
        <v>0</v>
      </c>
      <c r="AU352" s="8">
        <v>0</v>
      </c>
      <c r="AV352" s="8">
        <v>0</v>
      </c>
      <c r="AW352" s="8">
        <v>0</v>
      </c>
      <c r="AX352" s="8">
        <v>0</v>
      </c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</row>
    <row r="353" spans="3:63" outlineLevel="1" x14ac:dyDescent="0.2">
      <c r="C353" s="4" t="s">
        <v>171</v>
      </c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35"/>
      <c r="P353" s="26"/>
      <c r="Q353" s="35"/>
      <c r="R353" s="26"/>
      <c r="T353" s="8">
        <v>0</v>
      </c>
      <c r="U353" s="26"/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  <c r="AC353" s="8">
        <v>0</v>
      </c>
      <c r="AD353" s="8">
        <v>0</v>
      </c>
      <c r="AE353" s="8">
        <v>0</v>
      </c>
      <c r="AF353" s="8">
        <v>0</v>
      </c>
      <c r="AG353" s="8">
        <v>0</v>
      </c>
      <c r="AH353" s="8">
        <v>0</v>
      </c>
      <c r="AI353" s="8">
        <v>0</v>
      </c>
      <c r="AJ353" s="8">
        <v>0</v>
      </c>
      <c r="AK353" s="8">
        <v>0</v>
      </c>
      <c r="AL353" s="8">
        <v>0</v>
      </c>
      <c r="AM353" s="8">
        <v>0</v>
      </c>
      <c r="AN353" s="8">
        <v>0</v>
      </c>
      <c r="AO353" s="8">
        <v>0</v>
      </c>
      <c r="AP353" s="8">
        <v>0</v>
      </c>
      <c r="AQ353" s="8">
        <v>0</v>
      </c>
      <c r="AR353" s="8">
        <v>0</v>
      </c>
      <c r="AS353" s="8">
        <v>0</v>
      </c>
      <c r="AT353" s="8">
        <v>0</v>
      </c>
      <c r="AU353" s="8">
        <v>0</v>
      </c>
      <c r="AV353" s="8">
        <v>0</v>
      </c>
      <c r="AW353" s="8">
        <v>0</v>
      </c>
      <c r="AX353" s="8">
        <v>0</v>
      </c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</row>
    <row r="354" spans="3:63" outlineLevel="1" x14ac:dyDescent="0.2">
      <c r="C354" s="4" t="s">
        <v>172</v>
      </c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35"/>
      <c r="P354" s="26"/>
      <c r="Q354" s="35"/>
      <c r="R354" s="26"/>
      <c r="T354" s="8">
        <v>1067</v>
      </c>
      <c r="U354" s="26"/>
      <c r="V354" s="8">
        <v>0</v>
      </c>
      <c r="W354" s="8">
        <v>0</v>
      </c>
      <c r="X354" s="8">
        <v>0</v>
      </c>
      <c r="Y354" s="8">
        <v>0</v>
      </c>
      <c r="Z354" s="8">
        <v>209</v>
      </c>
      <c r="AA354" s="8">
        <v>674</v>
      </c>
      <c r="AB354" s="8">
        <v>775</v>
      </c>
      <c r="AC354" s="8">
        <v>186</v>
      </c>
      <c r="AD354" s="8">
        <v>242</v>
      </c>
      <c r="AE354" s="8">
        <v>1086</v>
      </c>
      <c r="AF354" s="8">
        <v>4618</v>
      </c>
      <c r="AG354" s="8">
        <v>1285</v>
      </c>
      <c r="AH354" s="8">
        <v>1769</v>
      </c>
      <c r="AI354" s="8">
        <v>2230</v>
      </c>
      <c r="AJ354" s="8">
        <v>2980</v>
      </c>
      <c r="AK354" s="8">
        <v>9</v>
      </c>
      <c r="AL354" s="8">
        <v>0</v>
      </c>
      <c r="AM354" s="8">
        <v>0</v>
      </c>
      <c r="AN354" s="8">
        <v>0</v>
      </c>
      <c r="AO354" s="8">
        <v>0</v>
      </c>
      <c r="AP354" s="8">
        <v>0</v>
      </c>
      <c r="AQ354" s="8">
        <v>0</v>
      </c>
      <c r="AR354" s="8">
        <v>0</v>
      </c>
      <c r="AS354" s="8">
        <v>0</v>
      </c>
      <c r="AT354" s="8">
        <v>0</v>
      </c>
      <c r="AU354" s="8">
        <v>0</v>
      </c>
      <c r="AV354" s="8">
        <v>0</v>
      </c>
      <c r="AW354" s="8">
        <v>0</v>
      </c>
      <c r="AX354" s="8">
        <v>0</v>
      </c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</row>
    <row r="355" spans="3:63" outlineLevel="1" x14ac:dyDescent="0.2">
      <c r="C355" s="4" t="s">
        <v>185</v>
      </c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35"/>
      <c r="P355" s="26"/>
      <c r="Q355" s="35"/>
      <c r="R355" s="26"/>
      <c r="T355" s="8"/>
      <c r="U355" s="26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Z355" s="4" t="s">
        <v>460</v>
      </c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</row>
    <row r="356" spans="3:63" outlineLevel="1" x14ac:dyDescent="0.2">
      <c r="C356" s="4" t="s">
        <v>170</v>
      </c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35"/>
      <c r="P356" s="26"/>
      <c r="Q356" s="35"/>
      <c r="R356" s="26"/>
      <c r="T356" s="8">
        <v>0</v>
      </c>
      <c r="U356" s="26"/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7</v>
      </c>
      <c r="AD356" s="8">
        <v>3</v>
      </c>
      <c r="AE356" s="8">
        <v>12</v>
      </c>
      <c r="AF356" s="8">
        <v>10</v>
      </c>
      <c r="AG356" s="8">
        <v>5</v>
      </c>
      <c r="AH356" s="8">
        <v>-12</v>
      </c>
      <c r="AI356" s="8">
        <v>0</v>
      </c>
      <c r="AJ356" s="8">
        <v>-4</v>
      </c>
      <c r="AK356" s="8">
        <v>589</v>
      </c>
      <c r="AL356" s="8">
        <v>0</v>
      </c>
      <c r="AM356" s="8">
        <v>0</v>
      </c>
      <c r="AN356" s="8">
        <v>0</v>
      </c>
      <c r="AO356" s="8">
        <v>169</v>
      </c>
      <c r="AP356" s="8">
        <v>343</v>
      </c>
      <c r="AQ356" s="8">
        <v>580</v>
      </c>
      <c r="AR356" s="8">
        <v>787</v>
      </c>
      <c r="AS356" s="8">
        <v>96</v>
      </c>
      <c r="AT356" s="8">
        <v>228</v>
      </c>
      <c r="AU356" s="8">
        <v>516</v>
      </c>
      <c r="AV356" s="8">
        <v>788</v>
      </c>
      <c r="AW356" s="8">
        <v>0</v>
      </c>
      <c r="AX356" s="8">
        <v>0</v>
      </c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</row>
    <row r="357" spans="3:63" outlineLevel="1" x14ac:dyDescent="0.2">
      <c r="C357" s="4" t="s">
        <v>171</v>
      </c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35"/>
      <c r="P357" s="26"/>
      <c r="Q357" s="35"/>
      <c r="R357" s="26"/>
      <c r="T357" s="8">
        <v>0</v>
      </c>
      <c r="U357" s="26"/>
      <c r="V357" s="8">
        <v>53</v>
      </c>
      <c r="W357" s="8">
        <v>421</v>
      </c>
      <c r="X357" s="8">
        <v>722</v>
      </c>
      <c r="Y357" s="8">
        <v>258</v>
      </c>
      <c r="Z357" s="8">
        <v>543</v>
      </c>
      <c r="AA357" s="8">
        <v>990</v>
      </c>
      <c r="AB357" s="8">
        <v>1404</v>
      </c>
      <c r="AC357" s="8">
        <v>491</v>
      </c>
      <c r="AD357" s="8">
        <v>1031</v>
      </c>
      <c r="AE357" s="8">
        <v>1536</v>
      </c>
      <c r="AF357" s="8">
        <v>2126</v>
      </c>
      <c r="AG357" s="8">
        <v>424</v>
      </c>
      <c r="AH357" s="8">
        <v>810</v>
      </c>
      <c r="AI357" s="8">
        <v>1631</v>
      </c>
      <c r="AJ357" s="8">
        <v>2592</v>
      </c>
      <c r="AK357" s="8">
        <v>1435</v>
      </c>
      <c r="AL357" s="8">
        <v>0</v>
      </c>
      <c r="AM357" s="8">
        <v>0</v>
      </c>
      <c r="AN357" s="8">
        <v>0</v>
      </c>
      <c r="AO357" s="8">
        <v>1798</v>
      </c>
      <c r="AP357" s="8">
        <v>2873</v>
      </c>
      <c r="AQ357" s="8">
        <v>4257</v>
      </c>
      <c r="AR357" s="8">
        <v>5766</v>
      </c>
      <c r="AS357" s="8">
        <v>1458</v>
      </c>
      <c r="AT357" s="8">
        <v>3776</v>
      </c>
      <c r="AU357" s="8">
        <v>6727</v>
      </c>
      <c r="AV357" s="8">
        <v>7312</v>
      </c>
      <c r="AW357" s="8">
        <v>0</v>
      </c>
      <c r="AX357" s="8">
        <v>0</v>
      </c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</row>
    <row r="358" spans="3:63" outlineLevel="1" x14ac:dyDescent="0.2">
      <c r="C358" s="4" t="s">
        <v>172</v>
      </c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35"/>
      <c r="P358" s="26"/>
      <c r="Q358" s="35"/>
      <c r="R358" s="26"/>
      <c r="T358" s="8">
        <v>2670</v>
      </c>
      <c r="U358" s="26"/>
      <c r="V358" s="8">
        <v>598</v>
      </c>
      <c r="W358" s="8">
        <v>574</v>
      </c>
      <c r="X358" s="8">
        <v>48</v>
      </c>
      <c r="Y358" s="8">
        <v>321</v>
      </c>
      <c r="Z358" s="8">
        <v>454</v>
      </c>
      <c r="AA358" s="8">
        <v>622</v>
      </c>
      <c r="AB358" s="8">
        <v>488</v>
      </c>
      <c r="AC358" s="8">
        <v>6815</v>
      </c>
      <c r="AD358" s="8">
        <v>3117</v>
      </c>
      <c r="AE358" s="8">
        <v>8402</v>
      </c>
      <c r="AF358" s="8">
        <v>7466</v>
      </c>
      <c r="AG358" s="8">
        <v>1852</v>
      </c>
      <c r="AH358" s="8">
        <v>3847</v>
      </c>
      <c r="AI358" s="8">
        <v>5199</v>
      </c>
      <c r="AJ358" s="8">
        <v>6416</v>
      </c>
      <c r="AK358" s="8">
        <v>-13541</v>
      </c>
      <c r="AL358" s="8">
        <v>0</v>
      </c>
      <c r="AM358" s="8">
        <v>0</v>
      </c>
      <c r="AN358" s="8">
        <v>0</v>
      </c>
      <c r="AO358" s="8">
        <v>5807</v>
      </c>
      <c r="AP358" s="8">
        <v>16171</v>
      </c>
      <c r="AQ358" s="8">
        <v>23705</v>
      </c>
      <c r="AR358" s="8">
        <v>18498</v>
      </c>
      <c r="AS358" s="8">
        <v>1543</v>
      </c>
      <c r="AT358" s="8">
        <v>-4959</v>
      </c>
      <c r="AU358" s="8">
        <v>2744</v>
      </c>
      <c r="AV358" s="8">
        <v>13395</v>
      </c>
      <c r="AW358" s="8">
        <v>0</v>
      </c>
      <c r="AX358" s="8">
        <v>0</v>
      </c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</row>
    <row r="359" spans="3:63" outlineLevel="1" x14ac:dyDescent="0.2">
      <c r="C359" s="4" t="s">
        <v>44</v>
      </c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35"/>
      <c r="P359" s="26"/>
      <c r="Q359" s="35"/>
      <c r="R359" s="26"/>
      <c r="T359" s="8"/>
      <c r="U359" s="26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Z359" s="4" t="s">
        <v>460</v>
      </c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</row>
    <row r="360" spans="3:63" outlineLevel="1" x14ac:dyDescent="0.2">
      <c r="C360" s="4" t="s">
        <v>170</v>
      </c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35"/>
      <c r="P360" s="26"/>
      <c r="Q360" s="35"/>
      <c r="R360" s="26"/>
      <c r="T360" s="8">
        <v>48</v>
      </c>
      <c r="U360" s="26"/>
      <c r="V360" s="8">
        <v>21</v>
      </c>
      <c r="W360" s="8">
        <v>26</v>
      </c>
      <c r="X360" s="8">
        <v>0</v>
      </c>
      <c r="Y360" s="8">
        <v>0</v>
      </c>
      <c r="Z360" s="8">
        <v>0</v>
      </c>
      <c r="AA360" s="8">
        <v>9</v>
      </c>
      <c r="AB360" s="8">
        <v>9</v>
      </c>
      <c r="AC360" s="8">
        <v>0</v>
      </c>
      <c r="AD360" s="8">
        <v>77</v>
      </c>
      <c r="AE360" s="8">
        <v>94</v>
      </c>
      <c r="AF360" s="8">
        <v>93</v>
      </c>
      <c r="AG360" s="8">
        <v>2</v>
      </c>
      <c r="AH360" s="8">
        <v>17</v>
      </c>
      <c r="AI360" s="8">
        <v>271</v>
      </c>
      <c r="AJ360" s="8">
        <v>814</v>
      </c>
      <c r="AK360" s="8">
        <v>29</v>
      </c>
      <c r="AL360" s="8">
        <v>50</v>
      </c>
      <c r="AM360" s="8">
        <v>93</v>
      </c>
      <c r="AN360" s="8">
        <v>122</v>
      </c>
      <c r="AO360" s="8">
        <v>98</v>
      </c>
      <c r="AP360" s="8">
        <v>177</v>
      </c>
      <c r="AQ360" s="8">
        <v>5</v>
      </c>
      <c r="AR360" s="8">
        <v>-89</v>
      </c>
      <c r="AS360" s="8">
        <v>14736</v>
      </c>
      <c r="AT360" s="8">
        <v>20116</v>
      </c>
      <c r="AU360" s="8">
        <v>23350</v>
      </c>
      <c r="AV360" s="8">
        <v>23493</v>
      </c>
      <c r="AW360" s="8">
        <v>84</v>
      </c>
      <c r="AX360" s="8">
        <v>212</v>
      </c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</row>
    <row r="361" spans="3:63" outlineLevel="1" x14ac:dyDescent="0.2">
      <c r="C361" s="4" t="s">
        <v>171</v>
      </c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35"/>
      <c r="P361" s="26"/>
      <c r="Q361" s="35"/>
      <c r="R361" s="26"/>
      <c r="T361" s="8">
        <v>221</v>
      </c>
      <c r="U361" s="26"/>
      <c r="V361" s="8">
        <v>183</v>
      </c>
      <c r="W361" s="8">
        <v>129</v>
      </c>
      <c r="X361" s="8">
        <v>0</v>
      </c>
      <c r="Y361" s="8">
        <v>14</v>
      </c>
      <c r="Z361" s="8">
        <v>19</v>
      </c>
      <c r="AA361" s="8">
        <v>150</v>
      </c>
      <c r="AB361" s="8">
        <v>157</v>
      </c>
      <c r="AC361" s="8">
        <v>3</v>
      </c>
      <c r="AD361" s="8">
        <v>3</v>
      </c>
      <c r="AE361" s="8">
        <v>185</v>
      </c>
      <c r="AF361" s="8">
        <v>386</v>
      </c>
      <c r="AG361" s="8">
        <v>157</v>
      </c>
      <c r="AH361" s="8">
        <v>196</v>
      </c>
      <c r="AI361" s="8">
        <v>274</v>
      </c>
      <c r="AJ361" s="8">
        <v>1483</v>
      </c>
      <c r="AK361" s="8">
        <v>30</v>
      </c>
      <c r="AL361" s="8">
        <v>1295</v>
      </c>
      <c r="AM361" s="8">
        <v>858</v>
      </c>
      <c r="AN361" s="8">
        <v>639</v>
      </c>
      <c r="AO361" s="8">
        <v>305</v>
      </c>
      <c r="AP361" s="8">
        <v>507</v>
      </c>
      <c r="AQ361" s="8">
        <v>1400</v>
      </c>
      <c r="AR361" s="8">
        <v>2131</v>
      </c>
      <c r="AS361" s="8">
        <v>221</v>
      </c>
      <c r="AT361" s="8">
        <v>619</v>
      </c>
      <c r="AU361" s="8">
        <v>1140</v>
      </c>
      <c r="AV361" s="8">
        <v>1687</v>
      </c>
      <c r="AW361" s="8">
        <v>62</v>
      </c>
      <c r="AX361" s="8">
        <v>75</v>
      </c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</row>
    <row r="362" spans="3:63" outlineLevel="1" x14ac:dyDescent="0.2">
      <c r="C362" s="4" t="s">
        <v>172</v>
      </c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35"/>
      <c r="P362" s="26"/>
      <c r="Q362" s="35"/>
      <c r="R362" s="26"/>
      <c r="T362" s="8">
        <v>1582</v>
      </c>
      <c r="U362" s="26"/>
      <c r="V362" s="8">
        <v>3642</v>
      </c>
      <c r="W362" s="8">
        <v>5063</v>
      </c>
      <c r="X362" s="8">
        <v>4109</v>
      </c>
      <c r="Y362" s="8">
        <v>232</v>
      </c>
      <c r="Z362" s="8">
        <v>658</v>
      </c>
      <c r="AA362" s="8">
        <v>692</v>
      </c>
      <c r="AB362" s="8">
        <v>1476</v>
      </c>
      <c r="AC362" s="8">
        <v>635</v>
      </c>
      <c r="AD362" s="8">
        <v>688</v>
      </c>
      <c r="AE362" s="8">
        <v>702</v>
      </c>
      <c r="AF362" s="8">
        <v>1045</v>
      </c>
      <c r="AG362" s="8">
        <v>944</v>
      </c>
      <c r="AH362" s="8">
        <v>3736</v>
      </c>
      <c r="AI362" s="8">
        <v>3819</v>
      </c>
      <c r="AJ362" s="8">
        <v>3845</v>
      </c>
      <c r="AK362" s="8">
        <v>664</v>
      </c>
      <c r="AL362" s="8">
        <v>236</v>
      </c>
      <c r="AM362" s="8">
        <v>1399</v>
      </c>
      <c r="AN362" s="8">
        <v>1830</v>
      </c>
      <c r="AO362" s="8">
        <v>433</v>
      </c>
      <c r="AP362" s="8">
        <v>750</v>
      </c>
      <c r="AQ362" s="8">
        <v>3141</v>
      </c>
      <c r="AR362" s="8">
        <v>3254</v>
      </c>
      <c r="AS362" s="8">
        <v>2798</v>
      </c>
      <c r="AT362" s="8">
        <v>3417</v>
      </c>
      <c r="AU362" s="8">
        <v>4338</v>
      </c>
      <c r="AV362" s="8">
        <v>6714</v>
      </c>
      <c r="AW362" s="8">
        <v>8750</v>
      </c>
      <c r="AX362" s="8">
        <v>10759</v>
      </c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</row>
    <row r="363" spans="3:63" outlineLevel="1" x14ac:dyDescent="0.2">
      <c r="C363" s="4" t="s">
        <v>299</v>
      </c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35"/>
      <c r="P363" s="26"/>
      <c r="Q363" s="35"/>
      <c r="R363" s="26"/>
      <c r="T363" s="8"/>
      <c r="U363" s="26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</row>
    <row r="364" spans="3:63" outlineLevel="1" x14ac:dyDescent="0.2">
      <c r="C364" s="4" t="s">
        <v>170</v>
      </c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35"/>
      <c r="P364" s="26"/>
      <c r="Q364" s="35"/>
      <c r="R364" s="26"/>
      <c r="T364" s="8">
        <v>0</v>
      </c>
      <c r="U364" s="26"/>
      <c r="V364" s="8"/>
      <c r="W364" s="8"/>
      <c r="X364" s="8">
        <v>0</v>
      </c>
      <c r="Y364" s="8">
        <v>0</v>
      </c>
      <c r="Z364" s="8">
        <v>0</v>
      </c>
      <c r="AA364" s="8">
        <v>0</v>
      </c>
      <c r="AB364" s="8">
        <v>0</v>
      </c>
      <c r="AC364" s="8">
        <v>784</v>
      </c>
      <c r="AD364" s="8">
        <v>1925</v>
      </c>
      <c r="AE364" s="8">
        <v>2969</v>
      </c>
      <c r="AF364" s="8">
        <v>4498</v>
      </c>
      <c r="AG364" s="8">
        <v>2883</v>
      </c>
      <c r="AH364" s="8">
        <v>6084</v>
      </c>
      <c r="AI364" s="8">
        <v>10027</v>
      </c>
      <c r="AJ364" s="8">
        <v>14497</v>
      </c>
      <c r="AK364" s="8">
        <v>6743</v>
      </c>
      <c r="AL364" s="8">
        <v>11207</v>
      </c>
      <c r="AM364" s="8">
        <v>18800</v>
      </c>
      <c r="AN364" s="8">
        <v>26618</v>
      </c>
      <c r="AO364" s="8">
        <v>7531</v>
      </c>
      <c r="AP364" s="8">
        <v>15612</v>
      </c>
      <c r="AQ364" s="8">
        <v>25697</v>
      </c>
      <c r="AR364" s="8">
        <v>43051</v>
      </c>
      <c r="AS364" s="8">
        <v>12758</v>
      </c>
      <c r="AT364" s="8">
        <v>30150</v>
      </c>
      <c r="AU364" s="8">
        <v>46929</v>
      </c>
      <c r="AV364" s="8">
        <v>63756</v>
      </c>
      <c r="AW364" s="8">
        <v>23674</v>
      </c>
      <c r="AX364" s="8">
        <v>43655</v>
      </c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</row>
    <row r="365" spans="3:63" outlineLevel="1" x14ac:dyDescent="0.2">
      <c r="C365" s="4" t="s">
        <v>171</v>
      </c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35"/>
      <c r="P365" s="26"/>
      <c r="Q365" s="35"/>
      <c r="R365" s="26"/>
      <c r="T365" s="8">
        <v>0</v>
      </c>
      <c r="U365" s="26"/>
      <c r="V365" s="8"/>
      <c r="W365" s="8"/>
      <c r="X365" s="8">
        <v>0</v>
      </c>
      <c r="Y365" s="8">
        <v>0</v>
      </c>
      <c r="Z365" s="8">
        <v>0</v>
      </c>
      <c r="AA365" s="8">
        <v>0</v>
      </c>
      <c r="AB365" s="8">
        <v>0</v>
      </c>
      <c r="AC365" s="8">
        <v>0</v>
      </c>
      <c r="AD365" s="8">
        <v>0</v>
      </c>
      <c r="AE365" s="8">
        <v>0</v>
      </c>
      <c r="AF365" s="8">
        <v>0</v>
      </c>
      <c r="AG365" s="8">
        <v>0</v>
      </c>
      <c r="AH365" s="8">
        <v>0</v>
      </c>
      <c r="AI365" s="8">
        <v>0</v>
      </c>
      <c r="AJ365" s="8">
        <v>0</v>
      </c>
      <c r="AK365" s="8">
        <v>0</v>
      </c>
      <c r="AL365" s="8">
        <v>0</v>
      </c>
      <c r="AM365" s="8">
        <v>0</v>
      </c>
      <c r="AN365" s="8">
        <v>0</v>
      </c>
      <c r="AO365" s="8">
        <v>0</v>
      </c>
      <c r="AP365" s="8">
        <v>0</v>
      </c>
      <c r="AQ365" s="8">
        <v>0</v>
      </c>
      <c r="AR365" s="8">
        <v>0</v>
      </c>
      <c r="AS365" s="8">
        <v>0</v>
      </c>
      <c r="AT365" s="8">
        <v>0</v>
      </c>
      <c r="AU365" s="8">
        <v>0</v>
      </c>
      <c r="AV365" s="8">
        <v>0</v>
      </c>
      <c r="AW365" s="8">
        <v>7360</v>
      </c>
      <c r="AX365" s="8">
        <v>21244</v>
      </c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</row>
    <row r="366" spans="3:63" outlineLevel="1" x14ac:dyDescent="0.2">
      <c r="C366" s="4" t="s">
        <v>172</v>
      </c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35"/>
      <c r="P366" s="26"/>
      <c r="Q366" s="35"/>
      <c r="R366" s="26"/>
      <c r="T366" s="8">
        <v>0</v>
      </c>
      <c r="U366" s="26"/>
      <c r="V366" s="8"/>
      <c r="W366" s="8"/>
      <c r="X366" s="8">
        <v>700</v>
      </c>
      <c r="Y366" s="8">
        <v>461</v>
      </c>
      <c r="Z366" s="8">
        <v>1098</v>
      </c>
      <c r="AA366" s="8">
        <v>1898</v>
      </c>
      <c r="AB366" s="8">
        <v>2652</v>
      </c>
      <c r="AC366" s="8">
        <v>461</v>
      </c>
      <c r="AD366" s="8">
        <v>822</v>
      </c>
      <c r="AE366" s="8">
        <v>1333</v>
      </c>
      <c r="AF366" s="8">
        <v>1905</v>
      </c>
      <c r="AG366" s="8">
        <v>357</v>
      </c>
      <c r="AH366" s="8">
        <v>960</v>
      </c>
      <c r="AI366" s="8">
        <v>1603</v>
      </c>
      <c r="AJ366" s="8">
        <v>1933</v>
      </c>
      <c r="AK366" s="8">
        <v>161</v>
      </c>
      <c r="AL366" s="8">
        <v>104</v>
      </c>
      <c r="AM366" s="8">
        <v>458</v>
      </c>
      <c r="AN366" s="8">
        <v>522</v>
      </c>
      <c r="AO366" s="8">
        <v>35</v>
      </c>
      <c r="AP366" s="8">
        <v>35</v>
      </c>
      <c r="AQ366" s="8">
        <v>148</v>
      </c>
      <c r="AR366" s="8">
        <v>277</v>
      </c>
      <c r="AS366" s="8">
        <v>127</v>
      </c>
      <c r="AT366" s="8">
        <v>244</v>
      </c>
      <c r="AU366" s="8">
        <v>2573</v>
      </c>
      <c r="AV366" s="8">
        <v>7129</v>
      </c>
      <c r="AW366" s="8">
        <v>1469</v>
      </c>
      <c r="AX366" s="8">
        <v>278</v>
      </c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</row>
    <row r="367" spans="3:63" outlineLevel="1" x14ac:dyDescent="0.2">
      <c r="C367" s="4" t="s">
        <v>175</v>
      </c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35"/>
      <c r="P367" s="26"/>
      <c r="Q367" s="35"/>
      <c r="R367" s="26"/>
      <c r="T367" s="8"/>
      <c r="U367" s="26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</row>
    <row r="368" spans="3:63" outlineLevel="1" x14ac:dyDescent="0.2">
      <c r="C368" s="4" t="s">
        <v>170</v>
      </c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35"/>
      <c r="P368" s="26"/>
      <c r="Q368" s="35"/>
      <c r="R368" s="26"/>
      <c r="T368" s="8">
        <v>14884</v>
      </c>
      <c r="U368" s="26"/>
      <c r="V368" s="8">
        <v>7122</v>
      </c>
      <c r="W368" s="8">
        <v>10750</v>
      </c>
      <c r="X368" s="8">
        <v>13114</v>
      </c>
      <c r="Y368" s="8">
        <v>2771</v>
      </c>
      <c r="Z368" s="8">
        <v>5269</v>
      </c>
      <c r="AA368" s="8">
        <v>7769</v>
      </c>
      <c r="AB368" s="8">
        <v>10321</v>
      </c>
      <c r="AC368" s="8">
        <v>2021</v>
      </c>
      <c r="AD368" s="8">
        <v>4002</v>
      </c>
      <c r="AE368" s="8">
        <v>5648</v>
      </c>
      <c r="AF368" s="8">
        <v>6988</v>
      </c>
      <c r="AG368" s="8">
        <v>1180</v>
      </c>
      <c r="AH368" s="8">
        <v>2877</v>
      </c>
      <c r="AI368" s="8">
        <v>1956</v>
      </c>
      <c r="AJ368" s="8">
        <v>778</v>
      </c>
      <c r="AK368" s="8">
        <v>0</v>
      </c>
      <c r="AL368" s="8">
        <v>0</v>
      </c>
      <c r="AM368" s="8">
        <v>0</v>
      </c>
      <c r="AN368" s="8">
        <v>0</v>
      </c>
      <c r="AO368" s="8">
        <v>0</v>
      </c>
      <c r="AP368" s="8">
        <v>0</v>
      </c>
      <c r="AQ368" s="8">
        <v>0</v>
      </c>
      <c r="AR368" s="8">
        <v>0</v>
      </c>
      <c r="AS368" s="8">
        <v>0</v>
      </c>
      <c r="AT368" s="8">
        <v>0</v>
      </c>
      <c r="AU368" s="8">
        <v>0</v>
      </c>
      <c r="AV368" s="8">
        <v>0</v>
      </c>
      <c r="AW368" s="8">
        <v>0</v>
      </c>
      <c r="AX368" s="8">
        <v>0</v>
      </c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</row>
    <row r="369" spans="3:63" outlineLevel="1" x14ac:dyDescent="0.2">
      <c r="C369" s="4" t="s">
        <v>171</v>
      </c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35"/>
      <c r="P369" s="26"/>
      <c r="Q369" s="35"/>
      <c r="R369" s="26"/>
      <c r="T369" s="8">
        <v>0</v>
      </c>
      <c r="U369" s="26"/>
      <c r="V369" s="8">
        <v>0</v>
      </c>
      <c r="W369" s="8">
        <v>0</v>
      </c>
      <c r="X369" s="8">
        <v>1100</v>
      </c>
      <c r="Y369" s="8">
        <v>1093</v>
      </c>
      <c r="Z369" s="8">
        <v>3127</v>
      </c>
      <c r="AA369" s="8">
        <v>5463</v>
      </c>
      <c r="AB369" s="8">
        <v>6773</v>
      </c>
      <c r="AC369" s="8">
        <v>1547</v>
      </c>
      <c r="AD369" s="8">
        <v>2313</v>
      </c>
      <c r="AE369" s="8">
        <v>2926</v>
      </c>
      <c r="AF369" s="8">
        <v>4897</v>
      </c>
      <c r="AG369" s="8">
        <v>2965</v>
      </c>
      <c r="AH369" s="8">
        <v>6388</v>
      </c>
      <c r="AI369" s="8">
        <v>9584</v>
      </c>
      <c r="AJ369" s="8">
        <v>13817</v>
      </c>
      <c r="AK369" s="8">
        <v>11104</v>
      </c>
      <c r="AL369" s="8">
        <v>17236</v>
      </c>
      <c r="AM369" s="8">
        <v>33639</v>
      </c>
      <c r="AN369" s="8">
        <v>35347</v>
      </c>
      <c r="AO369" s="8">
        <v>9460</v>
      </c>
      <c r="AP369" s="8">
        <v>14461</v>
      </c>
      <c r="AQ369" s="8">
        <v>31227</v>
      </c>
      <c r="AR369" s="8">
        <v>60005</v>
      </c>
      <c r="AS369" s="8">
        <v>33874</v>
      </c>
      <c r="AT369" s="8">
        <v>76030</v>
      </c>
      <c r="AU369" s="8">
        <v>128802</v>
      </c>
      <c r="AV369" s="8">
        <v>174870</v>
      </c>
      <c r="AW369" s="8">
        <v>33765</v>
      </c>
      <c r="AX369" s="8">
        <v>60423</v>
      </c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</row>
    <row r="370" spans="3:63" outlineLevel="1" x14ac:dyDescent="0.2">
      <c r="C370" s="4" t="s">
        <v>172</v>
      </c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35"/>
      <c r="P370" s="26"/>
      <c r="Q370" s="35"/>
      <c r="R370" s="26"/>
      <c r="T370" s="8">
        <v>0</v>
      </c>
      <c r="U370" s="26"/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  <c r="AC370" s="8">
        <v>0</v>
      </c>
      <c r="AD370" s="8">
        <v>0</v>
      </c>
      <c r="AE370" s="8">
        <v>0</v>
      </c>
      <c r="AF370" s="8">
        <v>0</v>
      </c>
      <c r="AG370" s="8">
        <v>0</v>
      </c>
      <c r="AH370" s="8">
        <v>0</v>
      </c>
      <c r="AI370" s="8">
        <v>0</v>
      </c>
      <c r="AJ370" s="8">
        <v>0</v>
      </c>
      <c r="AK370" s="8">
        <v>0</v>
      </c>
      <c r="AL370" s="8">
        <v>0</v>
      </c>
      <c r="AM370" s="8">
        <v>0</v>
      </c>
      <c r="AN370" s="8">
        <v>0</v>
      </c>
      <c r="AO370" s="8">
        <v>0</v>
      </c>
      <c r="AP370" s="8">
        <v>0</v>
      </c>
      <c r="AQ370" s="8">
        <v>0</v>
      </c>
      <c r="AR370" s="8">
        <v>0</v>
      </c>
      <c r="AS370" s="8">
        <v>0</v>
      </c>
      <c r="AT370" s="8">
        <v>0</v>
      </c>
      <c r="AU370" s="8">
        <v>0</v>
      </c>
      <c r="AV370" s="8">
        <v>0</v>
      </c>
      <c r="AW370" s="8">
        <v>0</v>
      </c>
      <c r="AX370" s="8">
        <v>0</v>
      </c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</row>
    <row r="371" spans="3:63" outlineLevel="1" x14ac:dyDescent="0.2">
      <c r="C371" s="78" t="s">
        <v>176</v>
      </c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1"/>
      <c r="P371" s="80"/>
      <c r="Q371" s="81"/>
      <c r="R371" s="80"/>
      <c r="S371" s="79"/>
      <c r="T371" s="82">
        <f>SUM(T335:T370)-SUM(T368:T370)</f>
        <v>106160</v>
      </c>
      <c r="U371" s="80"/>
      <c r="V371" s="82">
        <f>SUM(V335:V370)-SUM(V368:V370)</f>
        <v>57571</v>
      </c>
      <c r="W371" s="82">
        <f>SUM(W335:W370)-W368</f>
        <v>88467</v>
      </c>
      <c r="X371" s="82">
        <f t="shared" ref="X371:AX371" si="224">SUM(X335:X370)-SUM(X368:X370)</f>
        <v>118194</v>
      </c>
      <c r="Y371" s="82">
        <f t="shared" si="224"/>
        <v>32347</v>
      </c>
      <c r="Z371" s="82">
        <f t="shared" si="224"/>
        <v>68704</v>
      </c>
      <c r="AA371" s="82">
        <f t="shared" si="224"/>
        <v>106269</v>
      </c>
      <c r="AB371" s="82">
        <f t="shared" si="224"/>
        <v>146666</v>
      </c>
      <c r="AC371" s="82">
        <f t="shared" si="224"/>
        <v>48244</v>
      </c>
      <c r="AD371" s="82">
        <f t="shared" si="224"/>
        <v>86758</v>
      </c>
      <c r="AE371" s="82">
        <f t="shared" si="224"/>
        <v>140007</v>
      </c>
      <c r="AF371" s="82">
        <f t="shared" si="224"/>
        <v>187357</v>
      </c>
      <c r="AG371" s="82">
        <f t="shared" si="224"/>
        <v>51401</v>
      </c>
      <c r="AH371" s="82">
        <f t="shared" si="224"/>
        <v>118151</v>
      </c>
      <c r="AI371" s="82">
        <f t="shared" si="224"/>
        <v>185853</v>
      </c>
      <c r="AJ371" s="82">
        <f t="shared" si="224"/>
        <v>263145</v>
      </c>
      <c r="AK371" s="82">
        <f t="shared" si="224"/>
        <v>61687</v>
      </c>
      <c r="AL371" s="82">
        <f t="shared" si="224"/>
        <v>149384</v>
      </c>
      <c r="AM371" s="82">
        <f t="shared" si="224"/>
        <v>228624</v>
      </c>
      <c r="AN371" s="82">
        <f t="shared" si="224"/>
        <v>310036</v>
      </c>
      <c r="AO371" s="82">
        <f t="shared" si="224"/>
        <v>99328</v>
      </c>
      <c r="AP371" s="82">
        <f t="shared" si="224"/>
        <v>209911</v>
      </c>
      <c r="AQ371" s="82">
        <f t="shared" si="224"/>
        <v>320895</v>
      </c>
      <c r="AR371" s="82">
        <f t="shared" si="224"/>
        <v>454753</v>
      </c>
      <c r="AS371" s="82">
        <f t="shared" si="224"/>
        <v>170449</v>
      </c>
      <c r="AT371" s="82">
        <f t="shared" si="224"/>
        <v>347565</v>
      </c>
      <c r="AU371" s="82">
        <f t="shared" si="224"/>
        <v>547551</v>
      </c>
      <c r="AV371" s="82">
        <f t="shared" si="224"/>
        <v>815992</v>
      </c>
      <c r="AW371" s="82">
        <f t="shared" si="224"/>
        <v>252782</v>
      </c>
      <c r="AX371" s="82">
        <f t="shared" si="224"/>
        <v>495334</v>
      </c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</row>
    <row r="372" spans="3:63" outlineLevel="1" x14ac:dyDescent="0.2"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35"/>
      <c r="P372" s="26"/>
      <c r="Q372" s="35"/>
      <c r="R372" s="26"/>
      <c r="T372" s="83"/>
      <c r="U372" s="26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  <c r="AF372" s="83"/>
      <c r="AG372" s="83"/>
      <c r="AH372" s="83"/>
      <c r="AI372" s="83"/>
      <c r="AJ372" s="83"/>
      <c r="AK372" s="83"/>
      <c r="AL372" s="83"/>
      <c r="AM372" s="83"/>
      <c r="AN372" s="83"/>
      <c r="AO372" s="83"/>
      <c r="AP372" s="83"/>
      <c r="AQ372" s="83"/>
      <c r="AR372" s="83"/>
      <c r="AS372" s="83"/>
      <c r="AT372" s="83"/>
      <c r="AU372" s="83"/>
      <c r="AV372" s="83"/>
      <c r="AW372" s="83"/>
      <c r="AX372" s="83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</row>
    <row r="373" spans="3:63" outlineLevel="1" x14ac:dyDescent="0.2">
      <c r="C373" s="4" t="s">
        <v>10</v>
      </c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35"/>
      <c r="P373" s="26"/>
      <c r="Q373" s="35"/>
      <c r="R373" s="26"/>
      <c r="T373" s="8"/>
      <c r="U373" s="26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</row>
    <row r="374" spans="3:63" outlineLevel="1" x14ac:dyDescent="0.2">
      <c r="C374" s="4" t="s">
        <v>170</v>
      </c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35"/>
      <c r="P374" s="26"/>
      <c r="Q374" s="35"/>
      <c r="R374" s="26"/>
      <c r="T374" s="8">
        <v>-21514</v>
      </c>
      <c r="U374" s="26"/>
      <c r="V374" s="8">
        <v>-11277</v>
      </c>
      <c r="W374" s="8">
        <v>-16694</v>
      </c>
      <c r="X374" s="8">
        <v>-21462</v>
      </c>
      <c r="Y374" s="8">
        <v>-5937</v>
      </c>
      <c r="Z374" s="8">
        <v>-12217</v>
      </c>
      <c r="AA374" s="8">
        <v>-18685</v>
      </c>
      <c r="AB374" s="8">
        <v>-24617</v>
      </c>
      <c r="AC374" s="8">
        <v>-5770</v>
      </c>
      <c r="AD374" s="8">
        <v>-11184</v>
      </c>
      <c r="AE374" s="8">
        <v>-16291</v>
      </c>
      <c r="AF374" s="8">
        <v>-20990</v>
      </c>
      <c r="AG374" s="8">
        <v>-4635</v>
      </c>
      <c r="AH374" s="8">
        <v>-10305</v>
      </c>
      <c r="AI374" s="8">
        <v>-15976</v>
      </c>
      <c r="AJ374" s="8">
        <v>-21668</v>
      </c>
      <c r="AK374" s="8">
        <v>-7733</v>
      </c>
      <c r="AL374" s="8">
        <v>-30197</v>
      </c>
      <c r="AM374" s="8">
        <v>-42781</v>
      </c>
      <c r="AN374" s="8">
        <v>-52994</v>
      </c>
      <c r="AO374" s="8">
        <v>-10528</v>
      </c>
      <c r="AP374" s="8">
        <v>-21521</v>
      </c>
      <c r="AQ374" s="8">
        <v>-32561</v>
      </c>
      <c r="AR374" s="8">
        <v>-46719</v>
      </c>
      <c r="AS374" s="8">
        <v>-17795</v>
      </c>
      <c r="AT374" s="8">
        <v>-43187</v>
      </c>
      <c r="AU374" s="8">
        <v>-71719</v>
      </c>
      <c r="AV374" s="8">
        <v>-117151</v>
      </c>
      <c r="AW374" s="8">
        <v>-51431</v>
      </c>
      <c r="AX374" s="8">
        <v>-103988</v>
      </c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</row>
    <row r="375" spans="3:63" outlineLevel="1" x14ac:dyDescent="0.2">
      <c r="C375" s="4" t="s">
        <v>171</v>
      </c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35"/>
      <c r="P375" s="26"/>
      <c r="Q375" s="35"/>
      <c r="R375" s="26"/>
      <c r="T375" s="8">
        <v>-2934</v>
      </c>
      <c r="U375" s="26"/>
      <c r="V375" s="8">
        <v>-2982</v>
      </c>
      <c r="W375" s="8">
        <v>-5039</v>
      </c>
      <c r="X375" s="8">
        <v>-7520</v>
      </c>
      <c r="Y375" s="8">
        <v>-2671</v>
      </c>
      <c r="Z375" s="8">
        <v>-6351</v>
      </c>
      <c r="AA375" s="8">
        <v>-10248</v>
      </c>
      <c r="AB375" s="8">
        <v>-14405</v>
      </c>
      <c r="AC375" s="8">
        <v>-4146</v>
      </c>
      <c r="AD375" s="8">
        <v>-8140</v>
      </c>
      <c r="AE375" s="8">
        <v>-11361</v>
      </c>
      <c r="AF375" s="8">
        <v>-14928</v>
      </c>
      <c r="AG375" s="8">
        <v>-4603</v>
      </c>
      <c r="AH375" s="8">
        <v>-10920</v>
      </c>
      <c r="AI375" s="8">
        <v>-18814</v>
      </c>
      <c r="AJ375" s="8">
        <v>-29154</v>
      </c>
      <c r="AK375" s="8">
        <v>-15916</v>
      </c>
      <c r="AL375" s="8">
        <v>-39522</v>
      </c>
      <c r="AM375" s="8">
        <v>-55160</v>
      </c>
      <c r="AN375" s="8">
        <v>-69302</v>
      </c>
      <c r="AO375" s="8">
        <v>-17193</v>
      </c>
      <c r="AP375" s="8">
        <v>-35306</v>
      </c>
      <c r="AQ375" s="8">
        <v>-64553</v>
      </c>
      <c r="AR375" s="8">
        <v>-114672</v>
      </c>
      <c r="AS375" s="8">
        <v>-62915</v>
      </c>
      <c r="AT375" s="8">
        <v>-130146</v>
      </c>
      <c r="AU375" s="8">
        <v>-208162</v>
      </c>
      <c r="AV375" s="8">
        <v>-285243</v>
      </c>
      <c r="AW375" s="8">
        <v>-80090</v>
      </c>
      <c r="AX375" s="8">
        <v>-157904</v>
      </c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</row>
    <row r="376" spans="3:63" outlineLevel="1" x14ac:dyDescent="0.2">
      <c r="C376" s="4" t="s">
        <v>172</v>
      </c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35"/>
      <c r="P376" s="26"/>
      <c r="Q376" s="35"/>
      <c r="R376" s="26"/>
      <c r="T376" s="8">
        <v>-10034</v>
      </c>
      <c r="U376" s="26"/>
      <c r="V376" s="8">
        <v>-4487</v>
      </c>
      <c r="W376" s="8">
        <v>-6580</v>
      </c>
      <c r="X376" s="8">
        <v>-8772</v>
      </c>
      <c r="Y376" s="8">
        <v>-1865</v>
      </c>
      <c r="Z376" s="8">
        <v>-3325</v>
      </c>
      <c r="AA376" s="8">
        <v>-4887</v>
      </c>
      <c r="AB376" s="8">
        <v>-5394</v>
      </c>
      <c r="AC376" s="8">
        <v>-2485</v>
      </c>
      <c r="AD376" s="8">
        <v>-6662</v>
      </c>
      <c r="AE376" s="8">
        <v>-11453</v>
      </c>
      <c r="AF376" s="8">
        <v>-15284</v>
      </c>
      <c r="AG376" s="8">
        <v>-3659</v>
      </c>
      <c r="AH376" s="8">
        <v>-6976</v>
      </c>
      <c r="AI376" s="8">
        <v>-9789</v>
      </c>
      <c r="AJ376" s="8">
        <v>-13131</v>
      </c>
      <c r="AK376" s="8">
        <v>-5809</v>
      </c>
      <c r="AL376" s="8">
        <v>-8796</v>
      </c>
      <c r="AM376" s="8">
        <v>-11721</v>
      </c>
      <c r="AN376" s="8">
        <v>-16383</v>
      </c>
      <c r="AO376" s="8">
        <v>-2307</v>
      </c>
      <c r="AP376" s="8">
        <v>-4496</v>
      </c>
      <c r="AQ376" s="8">
        <v>-6703</v>
      </c>
      <c r="AR376" s="8">
        <v>-10362</v>
      </c>
      <c r="AS376" s="8">
        <v>-5667</v>
      </c>
      <c r="AT376" s="8">
        <v>-12780</v>
      </c>
      <c r="AU376" s="8">
        <v>-21513</v>
      </c>
      <c r="AV376" s="8">
        <v>-35540</v>
      </c>
      <c r="AW376" s="8">
        <v>-15394</v>
      </c>
      <c r="AX376" s="8">
        <v>-30155</v>
      </c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</row>
    <row r="377" spans="3:63" outlineLevel="1" x14ac:dyDescent="0.2">
      <c r="C377" s="4" t="s">
        <v>11</v>
      </c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35"/>
      <c r="P377" s="26"/>
      <c r="Q377" s="35"/>
      <c r="R377" s="26"/>
      <c r="T377" s="8"/>
      <c r="U377" s="26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</row>
    <row r="378" spans="3:63" outlineLevel="1" x14ac:dyDescent="0.2">
      <c r="C378" s="4" t="s">
        <v>170</v>
      </c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35"/>
      <c r="P378" s="26"/>
      <c r="Q378" s="35"/>
      <c r="R378" s="26"/>
      <c r="T378" s="8">
        <v>-1221</v>
      </c>
      <c r="U378" s="26"/>
      <c r="V378" s="8">
        <v>-978</v>
      </c>
      <c r="W378" s="8">
        <v>-1467</v>
      </c>
      <c r="X378" s="8">
        <v>-1883</v>
      </c>
      <c r="Y378" s="8">
        <v>-559</v>
      </c>
      <c r="Z378" s="8">
        <v>-1089</v>
      </c>
      <c r="AA378" s="8">
        <v>-1626</v>
      </c>
      <c r="AB378" s="8">
        <v>-2294</v>
      </c>
      <c r="AC378" s="8">
        <v>-675</v>
      </c>
      <c r="AD378" s="8">
        <v>-880</v>
      </c>
      <c r="AE378" s="8">
        <v>-1352</v>
      </c>
      <c r="AF378" s="8">
        <v>-1830</v>
      </c>
      <c r="AG378" s="8">
        <v>-506</v>
      </c>
      <c r="AH378" s="8">
        <v>-1147</v>
      </c>
      <c r="AI378" s="8">
        <v>-1520</v>
      </c>
      <c r="AJ378" s="8">
        <v>-2107</v>
      </c>
      <c r="AK378" s="8">
        <v>-581</v>
      </c>
      <c r="AL378" s="8">
        <v>-1262</v>
      </c>
      <c r="AM378" s="8">
        <v>-1965</v>
      </c>
      <c r="AN378" s="8">
        <v>-2626</v>
      </c>
      <c r="AO378" s="8">
        <v>-694</v>
      </c>
      <c r="AP378" s="8">
        <v>-674</v>
      </c>
      <c r="AQ378" s="8">
        <v>-1747</v>
      </c>
      <c r="AR378" s="8">
        <v>-2578</v>
      </c>
      <c r="AS378" s="8">
        <v>-751</v>
      </c>
      <c r="AT378" s="8">
        <v>-1563</v>
      </c>
      <c r="AU378" s="8">
        <v>-2550</v>
      </c>
      <c r="AV378" s="8">
        <v>-3882</v>
      </c>
      <c r="AW378" s="8">
        <v>-1253</v>
      </c>
      <c r="AX378" s="8">
        <v>-2386</v>
      </c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</row>
    <row r="379" spans="3:63" outlineLevel="1" x14ac:dyDescent="0.2">
      <c r="C379" s="4" t="s">
        <v>171</v>
      </c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35"/>
      <c r="P379" s="26"/>
      <c r="Q379" s="35"/>
      <c r="R379" s="26"/>
      <c r="T379" s="8">
        <v>-42</v>
      </c>
      <c r="U379" s="26"/>
      <c r="V379" s="8">
        <v>-21</v>
      </c>
      <c r="W379" s="8">
        <v>-122</v>
      </c>
      <c r="X379" s="8">
        <v>-307</v>
      </c>
      <c r="Y379" s="8">
        <v>-84</v>
      </c>
      <c r="Z379" s="8">
        <v>-165</v>
      </c>
      <c r="AA379" s="8">
        <v>-260</v>
      </c>
      <c r="AB379" s="8">
        <v>-340</v>
      </c>
      <c r="AC379" s="8">
        <v>-89</v>
      </c>
      <c r="AD379" s="8">
        <v>-145</v>
      </c>
      <c r="AE379" s="8">
        <v>-207</v>
      </c>
      <c r="AF379" s="8">
        <v>-274</v>
      </c>
      <c r="AG379" s="8">
        <v>-74</v>
      </c>
      <c r="AH379" s="8">
        <v>-155</v>
      </c>
      <c r="AI379" s="8">
        <v>-258</v>
      </c>
      <c r="AJ379" s="8">
        <v>-374</v>
      </c>
      <c r="AK379" s="8">
        <v>-404</v>
      </c>
      <c r="AL379" s="8">
        <v>-204</v>
      </c>
      <c r="AM379" s="8">
        <v>-1170</v>
      </c>
      <c r="AN379" s="8">
        <v>-1742</v>
      </c>
      <c r="AO379" s="8">
        <v>-312</v>
      </c>
      <c r="AP379" s="8">
        <v>-718</v>
      </c>
      <c r="AQ379" s="8">
        <v>-976</v>
      </c>
      <c r="AR379" s="8">
        <v>-1403</v>
      </c>
      <c r="AS379" s="8">
        <v>-478</v>
      </c>
      <c r="AT379" s="8">
        <v>-1022</v>
      </c>
      <c r="AU379" s="8">
        <v>-1921</v>
      </c>
      <c r="AV379" s="8">
        <v>-2309</v>
      </c>
      <c r="AW379" s="8">
        <v>-510</v>
      </c>
      <c r="AX379" s="8">
        <v>-1021</v>
      </c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</row>
    <row r="380" spans="3:63" outlineLevel="1" x14ac:dyDescent="0.2">
      <c r="C380" s="4" t="s">
        <v>172</v>
      </c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35"/>
      <c r="P380" s="26"/>
      <c r="Q380" s="35"/>
      <c r="R380" s="26"/>
      <c r="T380" s="8">
        <v>0</v>
      </c>
      <c r="U380" s="26"/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  <c r="AC380" s="8">
        <v>0</v>
      </c>
      <c r="AD380" s="8">
        <v>0</v>
      </c>
      <c r="AE380" s="8">
        <v>0</v>
      </c>
      <c r="AF380" s="8">
        <v>0</v>
      </c>
      <c r="AG380" s="8">
        <v>0</v>
      </c>
      <c r="AH380" s="8">
        <v>0</v>
      </c>
      <c r="AI380" s="8">
        <v>-369</v>
      </c>
      <c r="AJ380" s="8">
        <v>-567</v>
      </c>
      <c r="AK380" s="8">
        <v>54</v>
      </c>
      <c r="AL380" s="8">
        <v>-501</v>
      </c>
      <c r="AM380" s="8">
        <v>0</v>
      </c>
      <c r="AN380" s="8">
        <v>0</v>
      </c>
      <c r="AO380" s="8">
        <v>-389</v>
      </c>
      <c r="AP380" s="8">
        <v>-352</v>
      </c>
      <c r="AQ380" s="8">
        <v>-156</v>
      </c>
      <c r="AR380" s="8">
        <v>-116</v>
      </c>
      <c r="AS380" s="8">
        <v>-109</v>
      </c>
      <c r="AT380" s="8">
        <v>-431</v>
      </c>
      <c r="AU380" s="8">
        <v>-237</v>
      </c>
      <c r="AV380" s="8">
        <v>-296</v>
      </c>
      <c r="AW380" s="8">
        <v>-218</v>
      </c>
      <c r="AX380" s="8">
        <v>-537</v>
      </c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</row>
    <row r="381" spans="3:63" outlineLevel="1" x14ac:dyDescent="0.2">
      <c r="C381" s="4" t="s">
        <v>14</v>
      </c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35"/>
      <c r="P381" s="26"/>
      <c r="Q381" s="35"/>
      <c r="R381" s="26"/>
      <c r="T381" s="8"/>
      <c r="U381" s="26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</row>
    <row r="382" spans="3:63" outlineLevel="1" x14ac:dyDescent="0.2">
      <c r="C382" s="4" t="s">
        <v>170</v>
      </c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35"/>
      <c r="P382" s="26"/>
      <c r="Q382" s="35"/>
      <c r="R382" s="26"/>
      <c r="T382" s="8">
        <v>-1636</v>
      </c>
      <c r="U382" s="26"/>
      <c r="V382" s="8">
        <v>-1151</v>
      </c>
      <c r="W382" s="8">
        <v>-2429</v>
      </c>
      <c r="X382" s="8">
        <v>-3413</v>
      </c>
      <c r="Y382" s="8">
        <v>-1294</v>
      </c>
      <c r="Z382" s="8">
        <v>-3144</v>
      </c>
      <c r="AA382" s="8">
        <v>-4809</v>
      </c>
      <c r="AB382" s="8">
        <v>-6664</v>
      </c>
      <c r="AC382" s="8">
        <v>-1486</v>
      </c>
      <c r="AD382" s="8">
        <v>-2760</v>
      </c>
      <c r="AE382" s="8">
        <v>-4733</v>
      </c>
      <c r="AF382" s="8">
        <v>-6881</v>
      </c>
      <c r="AG382" s="8">
        <v>-1952</v>
      </c>
      <c r="AH382" s="8">
        <v>-3828</v>
      </c>
      <c r="AI382" s="8">
        <v>-5853</v>
      </c>
      <c r="AJ382" s="8">
        <v>-8023</v>
      </c>
      <c r="AK382" s="8">
        <v>-2457</v>
      </c>
      <c r="AL382" s="8">
        <v>-3819</v>
      </c>
      <c r="AM382" s="8">
        <v>-5392</v>
      </c>
      <c r="AN382" s="8">
        <v>-6922</v>
      </c>
      <c r="AO382" s="8">
        <v>-1585</v>
      </c>
      <c r="AP382" s="8">
        <v>-3239</v>
      </c>
      <c r="AQ382" s="8">
        <v>-5542</v>
      </c>
      <c r="AR382" s="8">
        <v>-5733</v>
      </c>
      <c r="AS382" s="8">
        <v>-1350</v>
      </c>
      <c r="AT382" s="8">
        <v>-3965</v>
      </c>
      <c r="AU382" s="310">
        <v>-9542</v>
      </c>
      <c r="AV382" s="8">
        <v>-4508</v>
      </c>
      <c r="AW382" s="8">
        <v>-1248</v>
      </c>
      <c r="AX382" s="8">
        <v>-3526</v>
      </c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</row>
    <row r="383" spans="3:63" outlineLevel="1" x14ac:dyDescent="0.2">
      <c r="C383" s="4" t="s">
        <v>171</v>
      </c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35"/>
      <c r="P383" s="26"/>
      <c r="Q383" s="35"/>
      <c r="R383" s="26"/>
      <c r="T383" s="8">
        <v>-78</v>
      </c>
      <c r="U383" s="26"/>
      <c r="V383" s="8">
        <v>-271</v>
      </c>
      <c r="W383" s="8">
        <v>-224</v>
      </c>
      <c r="X383" s="8">
        <v>-662</v>
      </c>
      <c r="Y383" s="8">
        <v>-64</v>
      </c>
      <c r="Z383" s="8">
        <v>-157</v>
      </c>
      <c r="AA383" s="8">
        <v>-474</v>
      </c>
      <c r="AB383" s="8">
        <v>-664</v>
      </c>
      <c r="AC383" s="8">
        <v>-185</v>
      </c>
      <c r="AD383" s="8">
        <v>-369</v>
      </c>
      <c r="AE383" s="8">
        <v>-580</v>
      </c>
      <c r="AF383" s="8">
        <v>-693</v>
      </c>
      <c r="AG383" s="8">
        <v>-180</v>
      </c>
      <c r="AH383" s="8">
        <v>-322</v>
      </c>
      <c r="AI383" s="8">
        <v>-508</v>
      </c>
      <c r="AJ383" s="8">
        <v>-760</v>
      </c>
      <c r="AK383" s="8">
        <v>-233</v>
      </c>
      <c r="AL383" s="8">
        <v>-841</v>
      </c>
      <c r="AM383" s="8">
        <v>-1025</v>
      </c>
      <c r="AN383" s="8">
        <v>-1771</v>
      </c>
      <c r="AO383" s="8">
        <v>-385</v>
      </c>
      <c r="AP383" s="8">
        <v>-757</v>
      </c>
      <c r="AQ383" s="8">
        <v>-898</v>
      </c>
      <c r="AR383" s="8">
        <v>-1203</v>
      </c>
      <c r="AS383" s="8">
        <v>-311</v>
      </c>
      <c r="AT383" s="8">
        <v>-691</v>
      </c>
      <c r="AU383" s="310">
        <v>-1457</v>
      </c>
      <c r="AV383" s="8">
        <v>-2191</v>
      </c>
      <c r="AW383" s="8">
        <v>-459</v>
      </c>
      <c r="AX383" s="8">
        <v>-964</v>
      </c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</row>
    <row r="384" spans="3:63" outlineLevel="1" x14ac:dyDescent="0.2">
      <c r="C384" s="4" t="s">
        <v>172</v>
      </c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35"/>
      <c r="P384" s="26"/>
      <c r="Q384" s="35"/>
      <c r="R384" s="26"/>
      <c r="T384" s="8">
        <v>-518</v>
      </c>
      <c r="U384" s="26"/>
      <c r="V384" s="8">
        <v>-360</v>
      </c>
      <c r="W384" s="8">
        <v>-543</v>
      </c>
      <c r="X384" s="8">
        <v>-463</v>
      </c>
      <c r="Y384" s="8">
        <v>-164</v>
      </c>
      <c r="Z384" s="8">
        <v>-160</v>
      </c>
      <c r="AA384" s="8">
        <v>-418</v>
      </c>
      <c r="AB384" s="8">
        <v>-362</v>
      </c>
      <c r="AC384" s="8">
        <v>-131</v>
      </c>
      <c r="AD384" s="8">
        <v>-423</v>
      </c>
      <c r="AE384" s="8">
        <v>-425</v>
      </c>
      <c r="AF384" s="8">
        <v>-615</v>
      </c>
      <c r="AG384" s="8">
        <v>-367</v>
      </c>
      <c r="AH384" s="8">
        <v>-648</v>
      </c>
      <c r="AI384" s="8">
        <v>-637</v>
      </c>
      <c r="AJ384" s="8">
        <v>-1229</v>
      </c>
      <c r="AK384" s="8">
        <v>-783</v>
      </c>
      <c r="AL384" s="8">
        <v>-520</v>
      </c>
      <c r="AM384" s="8">
        <v>-710</v>
      </c>
      <c r="AN384" s="8">
        <v>-727</v>
      </c>
      <c r="AO384" s="8">
        <v>-234</v>
      </c>
      <c r="AP384" s="8">
        <v>-695</v>
      </c>
      <c r="AQ384" s="8">
        <v>-496</v>
      </c>
      <c r="AR384" s="8">
        <v>-1108</v>
      </c>
      <c r="AS384" s="8">
        <v>-1530</v>
      </c>
      <c r="AT384" s="8">
        <v>-967</v>
      </c>
      <c r="AU384" s="310">
        <v>-2147</v>
      </c>
      <c r="AV384" s="8">
        <v>-2460</v>
      </c>
      <c r="AW384" s="8">
        <v>-1606</v>
      </c>
      <c r="AX384" s="8">
        <v>-1639</v>
      </c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</row>
    <row r="385" spans="3:63" outlineLevel="1" x14ac:dyDescent="0.2">
      <c r="C385" s="4" t="s">
        <v>177</v>
      </c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35"/>
      <c r="P385" s="26"/>
      <c r="Q385" s="35"/>
      <c r="R385" s="26"/>
      <c r="T385" s="8"/>
      <c r="U385" s="26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</row>
    <row r="386" spans="3:63" outlineLevel="1" x14ac:dyDescent="0.2">
      <c r="C386" s="4" t="s">
        <v>170</v>
      </c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35"/>
      <c r="P386" s="26"/>
      <c r="Q386" s="35"/>
      <c r="R386" s="26"/>
      <c r="T386" s="8">
        <v>0</v>
      </c>
      <c r="U386" s="26"/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  <c r="AC386" s="8">
        <v>0</v>
      </c>
      <c r="AD386" s="8">
        <v>-18</v>
      </c>
      <c r="AE386" s="8">
        <v>57</v>
      </c>
      <c r="AF386" s="8">
        <v>55</v>
      </c>
      <c r="AG386" s="8">
        <v>-74</v>
      </c>
      <c r="AH386" s="8">
        <v>-266</v>
      </c>
      <c r="AI386" s="8">
        <v>-346</v>
      </c>
      <c r="AJ386" s="8">
        <v>-671</v>
      </c>
      <c r="AK386" s="8">
        <v>-4193</v>
      </c>
      <c r="AL386" s="8">
        <v>-4209</v>
      </c>
      <c r="AM386" s="8">
        <v>-5961</v>
      </c>
      <c r="AN386" s="8">
        <v>-3306</v>
      </c>
      <c r="AO386" s="8">
        <v>0</v>
      </c>
      <c r="AP386" s="8">
        <v>0</v>
      </c>
      <c r="AQ386" s="8">
        <v>0</v>
      </c>
      <c r="AR386" s="8">
        <v>0</v>
      </c>
      <c r="AS386" s="8">
        <v>0</v>
      </c>
      <c r="AT386" s="8">
        <v>0</v>
      </c>
      <c r="AU386" s="8">
        <v>0</v>
      </c>
      <c r="AV386" s="8">
        <v>-2767</v>
      </c>
      <c r="AW386" s="8">
        <v>0</v>
      </c>
      <c r="AX386" s="8">
        <v>0</v>
      </c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</row>
    <row r="387" spans="3:63" outlineLevel="1" x14ac:dyDescent="0.2">
      <c r="C387" s="4" t="s">
        <v>171</v>
      </c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35"/>
      <c r="P387" s="26"/>
      <c r="Q387" s="35"/>
      <c r="R387" s="26"/>
      <c r="T387" s="8">
        <v>0</v>
      </c>
      <c r="U387" s="26"/>
      <c r="V387" s="8">
        <v>0</v>
      </c>
      <c r="W387" s="8">
        <v>-35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  <c r="AC387" s="8">
        <v>-230</v>
      </c>
      <c r="AD387" s="8">
        <v>859</v>
      </c>
      <c r="AE387" s="8">
        <v>622</v>
      </c>
      <c r="AF387" s="8">
        <v>585</v>
      </c>
      <c r="AG387" s="8">
        <v>-296</v>
      </c>
      <c r="AH387" s="8">
        <v>-433</v>
      </c>
      <c r="AI387" s="8">
        <v>-408</v>
      </c>
      <c r="AJ387" s="8">
        <v>-602</v>
      </c>
      <c r="AK387" s="8">
        <v>258</v>
      </c>
      <c r="AL387" s="8">
        <v>1865</v>
      </c>
      <c r="AM387" s="8">
        <v>1688</v>
      </c>
      <c r="AN387" s="8">
        <v>3014</v>
      </c>
      <c r="AO387" s="8">
        <v>0</v>
      </c>
      <c r="AP387" s="8">
        <v>0</v>
      </c>
      <c r="AQ387" s="8">
        <v>0</v>
      </c>
      <c r="AR387" s="8">
        <v>0</v>
      </c>
      <c r="AS387" s="8">
        <v>0</v>
      </c>
      <c r="AT387" s="8">
        <v>0</v>
      </c>
      <c r="AU387" s="8">
        <v>0</v>
      </c>
      <c r="AV387" s="8">
        <v>-4156</v>
      </c>
      <c r="AW387" s="8">
        <v>0</v>
      </c>
      <c r="AX387" s="8">
        <v>0</v>
      </c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</row>
    <row r="388" spans="3:63" outlineLevel="1" x14ac:dyDescent="0.2">
      <c r="C388" s="4" t="s">
        <v>172</v>
      </c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35"/>
      <c r="P388" s="26"/>
      <c r="Q388" s="35"/>
      <c r="R388" s="26"/>
      <c r="T388" s="8">
        <v>0</v>
      </c>
      <c r="U388" s="26"/>
      <c r="V388" s="8">
        <v>-2786</v>
      </c>
      <c r="W388" s="8">
        <v>-4357</v>
      </c>
      <c r="X388" s="8">
        <v>-8588</v>
      </c>
      <c r="Y388" s="8">
        <v>0</v>
      </c>
      <c r="Z388" s="8">
        <v>0</v>
      </c>
      <c r="AA388" s="8">
        <v>0</v>
      </c>
      <c r="AB388" s="8">
        <v>0</v>
      </c>
      <c r="AC388" s="8">
        <v>-30360</v>
      </c>
      <c r="AD388" s="8">
        <v>-9173</v>
      </c>
      <c r="AE388" s="8">
        <v>-13141</v>
      </c>
      <c r="AF388" s="8">
        <v>-5989</v>
      </c>
      <c r="AG388" s="8">
        <v>-5395</v>
      </c>
      <c r="AH388" s="8">
        <v>-5097</v>
      </c>
      <c r="AI388" s="8">
        <v>-6219</v>
      </c>
      <c r="AJ388" s="8">
        <v>-11782</v>
      </c>
      <c r="AK388" s="8">
        <v>-27988</v>
      </c>
      <c r="AL388" s="8">
        <v>-12550</v>
      </c>
      <c r="AM388" s="8">
        <v>-17906</v>
      </c>
      <c r="AN388" s="8">
        <v>-3852</v>
      </c>
      <c r="AO388" s="8">
        <v>0</v>
      </c>
      <c r="AP388" s="8">
        <v>0</v>
      </c>
      <c r="AQ388" s="8">
        <v>0</v>
      </c>
      <c r="AR388" s="8">
        <v>0</v>
      </c>
      <c r="AS388" s="8">
        <v>0</v>
      </c>
      <c r="AT388" s="8">
        <v>0</v>
      </c>
      <c r="AU388" s="8">
        <v>0</v>
      </c>
      <c r="AV388" s="8">
        <v>-38224</v>
      </c>
      <c r="AW388" s="8">
        <v>0</v>
      </c>
      <c r="AX388" s="8">
        <v>0</v>
      </c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</row>
    <row r="389" spans="3:63" outlineLevel="1" x14ac:dyDescent="0.2">
      <c r="C389" s="4" t="s">
        <v>421</v>
      </c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35"/>
      <c r="P389" s="26"/>
      <c r="Q389" s="35"/>
      <c r="R389" s="26"/>
      <c r="T389" s="8"/>
      <c r="U389" s="26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</row>
    <row r="390" spans="3:63" outlineLevel="1" x14ac:dyDescent="0.2">
      <c r="C390" s="4" t="s">
        <v>170</v>
      </c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35"/>
      <c r="P390" s="26"/>
      <c r="Q390" s="35"/>
      <c r="R390" s="26"/>
      <c r="T390" s="8"/>
      <c r="U390" s="26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>
        <v>0</v>
      </c>
      <c r="AL390" s="8">
        <v>0</v>
      </c>
      <c r="AM390" s="8">
        <v>0</v>
      </c>
      <c r="AN390" s="8">
        <v>0</v>
      </c>
      <c r="AO390" s="8">
        <v>0</v>
      </c>
      <c r="AP390" s="8">
        <v>0</v>
      </c>
      <c r="AQ390" s="8">
        <v>0</v>
      </c>
      <c r="AR390" s="8">
        <v>0</v>
      </c>
      <c r="AS390" s="8">
        <v>0</v>
      </c>
      <c r="AT390" s="8">
        <v>0</v>
      </c>
      <c r="AU390" s="8">
        <v>0</v>
      </c>
      <c r="AV390" s="8">
        <v>0</v>
      </c>
      <c r="AW390" s="8">
        <v>0</v>
      </c>
      <c r="AX390" s="8">
        <v>0</v>
      </c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</row>
    <row r="391" spans="3:63" outlineLevel="1" x14ac:dyDescent="0.2">
      <c r="C391" s="4" t="s">
        <v>171</v>
      </c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35"/>
      <c r="P391" s="26"/>
      <c r="Q391" s="35"/>
      <c r="R391" s="26"/>
      <c r="T391" s="8"/>
      <c r="U391" s="26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>
        <v>0</v>
      </c>
      <c r="AL391" s="8">
        <v>0</v>
      </c>
      <c r="AM391" s="8">
        <v>0</v>
      </c>
      <c r="AN391" s="8">
        <v>0</v>
      </c>
      <c r="AO391" s="8">
        <v>0</v>
      </c>
      <c r="AP391" s="8">
        <v>0</v>
      </c>
      <c r="AQ391" s="8">
        <v>0</v>
      </c>
      <c r="AR391" s="8">
        <v>0</v>
      </c>
      <c r="AS391" s="8">
        <v>0</v>
      </c>
      <c r="AT391" s="8">
        <v>0</v>
      </c>
      <c r="AU391" s="8">
        <v>0</v>
      </c>
      <c r="AV391" s="8">
        <v>0</v>
      </c>
      <c r="AW391" s="8">
        <v>0</v>
      </c>
      <c r="AX391" s="8">
        <v>0</v>
      </c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</row>
    <row r="392" spans="3:63" outlineLevel="1" x14ac:dyDescent="0.2">
      <c r="C392" s="4" t="s">
        <v>172</v>
      </c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35"/>
      <c r="P392" s="26"/>
      <c r="Q392" s="35"/>
      <c r="R392" s="26"/>
      <c r="T392" s="8"/>
      <c r="U392" s="26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>
        <v>0</v>
      </c>
      <c r="AL392" s="8">
        <v>-17</v>
      </c>
      <c r="AM392" s="8">
        <v>-6</v>
      </c>
      <c r="AN392" s="8">
        <v>-343</v>
      </c>
      <c r="AO392" s="8">
        <v>-96</v>
      </c>
      <c r="AP392" s="8">
        <v>-63</v>
      </c>
      <c r="AQ392" s="8">
        <v>-62</v>
      </c>
      <c r="AR392" s="8">
        <v>-60</v>
      </c>
      <c r="AS392" s="8">
        <v>0</v>
      </c>
      <c r="AT392" s="8">
        <v>0</v>
      </c>
      <c r="AU392" s="8">
        <v>0</v>
      </c>
      <c r="AV392" s="8">
        <v>-289</v>
      </c>
      <c r="AW392" s="8">
        <v>0</v>
      </c>
      <c r="AX392" s="8">
        <v>0</v>
      </c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</row>
    <row r="393" spans="3:63" outlineLevel="1" x14ac:dyDescent="0.2">
      <c r="C393" s="4" t="s">
        <v>178</v>
      </c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35"/>
      <c r="P393" s="26"/>
      <c r="Q393" s="35"/>
      <c r="R393" s="26"/>
      <c r="T393" s="8"/>
      <c r="U393" s="26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</row>
    <row r="394" spans="3:63" outlineLevel="1" x14ac:dyDescent="0.2">
      <c r="C394" s="4" t="s">
        <v>170</v>
      </c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35"/>
      <c r="P394" s="26"/>
      <c r="Q394" s="35"/>
      <c r="R394" s="26"/>
      <c r="T394" s="8">
        <v>0</v>
      </c>
      <c r="U394" s="26"/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  <c r="AC394" s="8">
        <v>0</v>
      </c>
      <c r="AD394" s="8">
        <v>0</v>
      </c>
      <c r="AE394" s="8">
        <v>0</v>
      </c>
      <c r="AF394" s="8">
        <v>0</v>
      </c>
      <c r="AG394" s="8">
        <v>0</v>
      </c>
      <c r="AH394" s="8">
        <v>0</v>
      </c>
      <c r="AI394" s="8">
        <v>0</v>
      </c>
      <c r="AJ394" s="8">
        <v>0</v>
      </c>
      <c r="AK394" s="8">
        <v>-1</v>
      </c>
      <c r="AL394" s="8">
        <v>0</v>
      </c>
      <c r="AM394" s="8">
        <v>30</v>
      </c>
      <c r="AN394" s="8">
        <v>-29</v>
      </c>
      <c r="AO394" s="8">
        <v>99</v>
      </c>
      <c r="AP394" s="8">
        <v>-170</v>
      </c>
      <c r="AQ394" s="8">
        <v>-323</v>
      </c>
      <c r="AR394" s="8">
        <v>-1062</v>
      </c>
      <c r="AS394" s="8">
        <v>-80</v>
      </c>
      <c r="AT394" s="8">
        <v>-79</v>
      </c>
      <c r="AU394" s="8">
        <v>-82</v>
      </c>
      <c r="AV394" s="8">
        <v>-89</v>
      </c>
      <c r="AW394" s="8">
        <v>0</v>
      </c>
      <c r="AX394" s="8">
        <v>-6</v>
      </c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</row>
    <row r="395" spans="3:63" outlineLevel="1" x14ac:dyDescent="0.2">
      <c r="C395" s="4" t="s">
        <v>171</v>
      </c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35"/>
      <c r="P395" s="26"/>
      <c r="Q395" s="35"/>
      <c r="R395" s="26"/>
      <c r="T395" s="8">
        <v>0</v>
      </c>
      <c r="U395" s="26"/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  <c r="AC395" s="8">
        <v>0</v>
      </c>
      <c r="AD395" s="8">
        <v>0</v>
      </c>
      <c r="AE395" s="8">
        <v>0</v>
      </c>
      <c r="AF395" s="8">
        <v>0</v>
      </c>
      <c r="AG395" s="8">
        <v>0</v>
      </c>
      <c r="AH395" s="8">
        <v>0</v>
      </c>
      <c r="AI395" s="8">
        <v>0</v>
      </c>
      <c r="AJ395" s="8">
        <v>0</v>
      </c>
      <c r="AK395" s="8">
        <v>0</v>
      </c>
      <c r="AL395" s="8">
        <v>0</v>
      </c>
      <c r="AM395" s="8">
        <v>0</v>
      </c>
      <c r="AN395" s="8">
        <v>0</v>
      </c>
      <c r="AO395" s="8">
        <v>0</v>
      </c>
      <c r="AP395" s="8">
        <v>0</v>
      </c>
      <c r="AQ395" s="8">
        <v>0</v>
      </c>
      <c r="AR395" s="8">
        <v>0</v>
      </c>
      <c r="AS395" s="8">
        <v>0</v>
      </c>
      <c r="AT395" s="8">
        <v>0</v>
      </c>
      <c r="AU395" s="8">
        <v>0</v>
      </c>
      <c r="AV395" s="8">
        <v>0</v>
      </c>
      <c r="AW395" s="8">
        <v>0</v>
      </c>
      <c r="AX395" s="8">
        <v>0</v>
      </c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</row>
    <row r="396" spans="3:63" outlineLevel="1" x14ac:dyDescent="0.2">
      <c r="C396" s="4" t="s">
        <v>172</v>
      </c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35"/>
      <c r="P396" s="26"/>
      <c r="Q396" s="35"/>
      <c r="R396" s="26"/>
      <c r="T396" s="8">
        <v>0</v>
      </c>
      <c r="U396" s="26"/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-5</v>
      </c>
      <c r="AC396" s="8">
        <v>0</v>
      </c>
      <c r="AD396" s="8">
        <v>0</v>
      </c>
      <c r="AE396" s="8">
        <v>0</v>
      </c>
      <c r="AF396" s="8">
        <v>0</v>
      </c>
      <c r="AG396" s="8">
        <v>0</v>
      </c>
      <c r="AH396" s="8">
        <v>-295</v>
      </c>
      <c r="AI396" s="8">
        <v>-63</v>
      </c>
      <c r="AJ396" s="8">
        <v>-1313</v>
      </c>
      <c r="AK396" s="8">
        <v>-655</v>
      </c>
      <c r="AL396" s="8">
        <v>-601</v>
      </c>
      <c r="AM396" s="8">
        <v>-697</v>
      </c>
      <c r="AN396" s="8">
        <v>-704</v>
      </c>
      <c r="AO396" s="8">
        <v>-460</v>
      </c>
      <c r="AP396" s="8">
        <v>-5095</v>
      </c>
      <c r="AQ396" s="8">
        <v>-5242</v>
      </c>
      <c r="AR396" s="8">
        <v>-5262</v>
      </c>
      <c r="AS396" s="8">
        <v>0</v>
      </c>
      <c r="AT396" s="8">
        <v>-8</v>
      </c>
      <c r="AU396" s="8">
        <v>-58</v>
      </c>
      <c r="AV396" s="8">
        <v>-55</v>
      </c>
      <c r="AW396" s="8">
        <v>0</v>
      </c>
      <c r="AX396" s="8">
        <v>-7</v>
      </c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</row>
    <row r="397" spans="3:63" outlineLevel="1" x14ac:dyDescent="0.2">
      <c r="C397" s="4" t="s">
        <v>455</v>
      </c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35"/>
      <c r="P397" s="26"/>
      <c r="Q397" s="35"/>
      <c r="R397" s="26"/>
      <c r="T397" s="8"/>
      <c r="U397" s="26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</row>
    <row r="398" spans="3:63" outlineLevel="1" x14ac:dyDescent="0.2">
      <c r="C398" s="4" t="s">
        <v>170</v>
      </c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35"/>
      <c r="P398" s="26"/>
      <c r="Q398" s="35"/>
      <c r="R398" s="26"/>
      <c r="T398" s="8"/>
      <c r="U398" s="26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>
        <v>0</v>
      </c>
      <c r="AL398" s="8">
        <v>-1519</v>
      </c>
      <c r="AM398" s="8">
        <v>-1320</v>
      </c>
      <c r="AN398" s="8">
        <v>-960</v>
      </c>
      <c r="AO398" s="8">
        <v>0</v>
      </c>
      <c r="AP398" s="8">
        <v>0</v>
      </c>
      <c r="AQ398" s="8">
        <v>0</v>
      </c>
      <c r="AR398" s="8">
        <v>0</v>
      </c>
      <c r="AS398" s="8">
        <v>0</v>
      </c>
      <c r="AT398" s="8">
        <v>0</v>
      </c>
      <c r="AU398" s="8">
        <v>0</v>
      </c>
      <c r="AV398" s="8">
        <v>0</v>
      </c>
      <c r="AW398" s="8">
        <v>-123</v>
      </c>
      <c r="AX398" s="8">
        <v>-304</v>
      </c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</row>
    <row r="399" spans="3:63" outlineLevel="1" x14ac:dyDescent="0.2">
      <c r="C399" s="4" t="s">
        <v>171</v>
      </c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35"/>
      <c r="P399" s="26"/>
      <c r="Q399" s="35"/>
      <c r="R399" s="26"/>
      <c r="T399" s="8"/>
      <c r="U399" s="26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>
        <v>0</v>
      </c>
      <c r="AL399" s="8">
        <v>2487</v>
      </c>
      <c r="AM399" s="8">
        <v>7406</v>
      </c>
      <c r="AN399" s="8">
        <v>12845</v>
      </c>
      <c r="AO399" s="8">
        <v>0</v>
      </c>
      <c r="AP399" s="8">
        <v>0</v>
      </c>
      <c r="AQ399" s="8">
        <v>0</v>
      </c>
      <c r="AR399" s="8">
        <v>0</v>
      </c>
      <c r="AS399" s="8">
        <v>0</v>
      </c>
      <c r="AT399" s="8">
        <v>0</v>
      </c>
      <c r="AU399" s="8">
        <v>0</v>
      </c>
      <c r="AV399" s="8">
        <v>0</v>
      </c>
      <c r="AW399" s="8">
        <v>1796</v>
      </c>
      <c r="AX399" s="8">
        <v>3233</v>
      </c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</row>
    <row r="400" spans="3:63" outlineLevel="1" x14ac:dyDescent="0.2">
      <c r="C400" s="4" t="s">
        <v>172</v>
      </c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35"/>
      <c r="P400" s="26"/>
      <c r="Q400" s="35"/>
      <c r="R400" s="26"/>
      <c r="T400" s="8"/>
      <c r="U400" s="26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>
        <v>0</v>
      </c>
      <c r="AL400" s="8">
        <v>-59672</v>
      </c>
      <c r="AM400" s="8">
        <v>-52960</v>
      </c>
      <c r="AN400" s="8">
        <v>-41677</v>
      </c>
      <c r="AO400" s="8">
        <v>0</v>
      </c>
      <c r="AP400" s="8">
        <v>0</v>
      </c>
      <c r="AQ400" s="8">
        <v>0</v>
      </c>
      <c r="AR400" s="8">
        <v>0</v>
      </c>
      <c r="AS400" s="8">
        <v>0</v>
      </c>
      <c r="AT400" s="8">
        <v>0</v>
      </c>
      <c r="AU400" s="8">
        <v>0</v>
      </c>
      <c r="AV400" s="8">
        <v>0</v>
      </c>
      <c r="AW400" s="8">
        <v>-16572</v>
      </c>
      <c r="AX400" s="8">
        <v>-18599</v>
      </c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</row>
    <row r="401" spans="3:63" outlineLevel="1" x14ac:dyDescent="0.2">
      <c r="C401" s="4" t="s">
        <v>179</v>
      </c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35"/>
      <c r="P401" s="26"/>
      <c r="Q401" s="35"/>
      <c r="R401" s="26"/>
      <c r="T401" s="8"/>
      <c r="U401" s="26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</row>
    <row r="402" spans="3:63" outlineLevel="1" x14ac:dyDescent="0.2">
      <c r="C402" s="4" t="s">
        <v>170</v>
      </c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35"/>
      <c r="P402" s="26"/>
      <c r="Q402" s="35"/>
      <c r="R402" s="26"/>
      <c r="T402" s="8">
        <v>-3808</v>
      </c>
      <c r="U402" s="26"/>
      <c r="V402" s="8">
        <v>-1972</v>
      </c>
      <c r="W402" s="8">
        <v>-2884</v>
      </c>
      <c r="X402" s="8">
        <v>-4019</v>
      </c>
      <c r="Y402" s="8">
        <v>-818</v>
      </c>
      <c r="Z402" s="8">
        <v>-2819</v>
      </c>
      <c r="AA402" s="8">
        <v>-4685</v>
      </c>
      <c r="AB402" s="8">
        <v>-8013</v>
      </c>
      <c r="AC402" s="8">
        <v>-4168</v>
      </c>
      <c r="AD402" s="8">
        <v>-9297</v>
      </c>
      <c r="AE402" s="8">
        <v>-14400</v>
      </c>
      <c r="AF402" s="8">
        <v>-17673</v>
      </c>
      <c r="AG402" s="8">
        <v>-2054</v>
      </c>
      <c r="AH402" s="8">
        <v>-7966</v>
      </c>
      <c r="AI402" s="8">
        <v>-11234</v>
      </c>
      <c r="AJ402" s="8">
        <v>-17123</v>
      </c>
      <c r="AK402" s="8">
        <v>-7298</v>
      </c>
      <c r="AL402" s="8">
        <v>-14741</v>
      </c>
      <c r="AM402" s="8">
        <v>-21950</v>
      </c>
      <c r="AN402" s="8">
        <v>-28718</v>
      </c>
      <c r="AO402" s="8">
        <v>-6101</v>
      </c>
      <c r="AP402" s="8">
        <v>-11656</v>
      </c>
      <c r="AQ402" s="8">
        <v>-15714</v>
      </c>
      <c r="AR402" s="8">
        <v>-19334</v>
      </c>
      <c r="AS402" s="8">
        <v>-12715</v>
      </c>
      <c r="AT402" s="8">
        <v>-25689</v>
      </c>
      <c r="AU402" s="8">
        <v>-40064</v>
      </c>
      <c r="AV402" s="8">
        <v>-53251</v>
      </c>
      <c r="AW402" s="8">
        <v>-13506</v>
      </c>
      <c r="AX402" s="8">
        <v>-36093</v>
      </c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</row>
    <row r="403" spans="3:63" outlineLevel="1" x14ac:dyDescent="0.2">
      <c r="C403" s="4" t="s">
        <v>171</v>
      </c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35"/>
      <c r="P403" s="26"/>
      <c r="Q403" s="35"/>
      <c r="R403" s="26"/>
      <c r="T403" s="8">
        <v>-105</v>
      </c>
      <c r="U403" s="26"/>
      <c r="V403" s="8">
        <v>-1815</v>
      </c>
      <c r="W403" s="8">
        <v>-1104</v>
      </c>
      <c r="X403" s="8">
        <v>-1318</v>
      </c>
      <c r="Y403" s="8">
        <v>-45</v>
      </c>
      <c r="Z403" s="8">
        <v>-8</v>
      </c>
      <c r="AA403" s="8">
        <v>-1420</v>
      </c>
      <c r="AB403" s="8">
        <v>-1700</v>
      </c>
      <c r="AC403" s="8">
        <v>-1643</v>
      </c>
      <c r="AD403" s="8">
        <v>-2612</v>
      </c>
      <c r="AE403" s="8">
        <v>-3287</v>
      </c>
      <c r="AF403" s="8">
        <v>-4269</v>
      </c>
      <c r="AG403" s="8">
        <v>-2523</v>
      </c>
      <c r="AH403" s="8">
        <v>-5045</v>
      </c>
      <c r="AI403" s="8">
        <v>-8917</v>
      </c>
      <c r="AJ403" s="8">
        <v>-11945</v>
      </c>
      <c r="AK403" s="8">
        <v>-13168</v>
      </c>
      <c r="AL403" s="8">
        <v>-15701</v>
      </c>
      <c r="AM403" s="8">
        <v>-21292</v>
      </c>
      <c r="AN403" s="8">
        <v>-22572</v>
      </c>
      <c r="AO403" s="8">
        <v>-7464</v>
      </c>
      <c r="AP403" s="8">
        <v>-10021</v>
      </c>
      <c r="AQ403" s="8">
        <v>-10963</v>
      </c>
      <c r="AR403" s="8">
        <v>-12417</v>
      </c>
      <c r="AS403" s="8">
        <v>-4297</v>
      </c>
      <c r="AT403" s="8">
        <v>-6305</v>
      </c>
      <c r="AU403" s="8">
        <v>-10834</v>
      </c>
      <c r="AV403" s="8">
        <v>-19239</v>
      </c>
      <c r="AW403" s="8">
        <v>940</v>
      </c>
      <c r="AX403" s="8">
        <v>-3334</v>
      </c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</row>
    <row r="404" spans="3:63" outlineLevel="1" x14ac:dyDescent="0.2">
      <c r="C404" s="4" t="s">
        <v>172</v>
      </c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35"/>
      <c r="P404" s="26"/>
      <c r="Q404" s="35"/>
      <c r="R404" s="26"/>
      <c r="T404" s="8">
        <v>-525</v>
      </c>
      <c r="U404" s="26"/>
      <c r="V404" s="8">
        <v>-654</v>
      </c>
      <c r="W404" s="8">
        <v>-2604</v>
      </c>
      <c r="X404" s="8">
        <v>-2131</v>
      </c>
      <c r="Y404" s="8">
        <v>-176</v>
      </c>
      <c r="Z404" s="8">
        <v>-574</v>
      </c>
      <c r="AA404" s="8">
        <v>1613</v>
      </c>
      <c r="AB404" s="8">
        <v>1874</v>
      </c>
      <c r="AC404" s="8">
        <v>295</v>
      </c>
      <c r="AD404" s="8">
        <v>412</v>
      </c>
      <c r="AE404" s="8">
        <v>523</v>
      </c>
      <c r="AF404" s="8">
        <v>1005</v>
      </c>
      <c r="AG404" s="8">
        <v>2096</v>
      </c>
      <c r="AH404" s="8">
        <v>2087</v>
      </c>
      <c r="AI404" s="8">
        <v>2244</v>
      </c>
      <c r="AJ404" s="8">
        <v>-2569</v>
      </c>
      <c r="AK404" s="8">
        <v>-428</v>
      </c>
      <c r="AL404" s="8">
        <v>1523</v>
      </c>
      <c r="AM404" s="8">
        <v>867</v>
      </c>
      <c r="AN404" s="8">
        <v>-2652</v>
      </c>
      <c r="AO404" s="8">
        <v>1626</v>
      </c>
      <c r="AP404" s="8">
        <v>475</v>
      </c>
      <c r="AQ404" s="8">
        <v>-2706</v>
      </c>
      <c r="AR404" s="8">
        <v>-762</v>
      </c>
      <c r="AS404" s="8">
        <v>-148</v>
      </c>
      <c r="AT404" s="8">
        <v>-302</v>
      </c>
      <c r="AU404" s="8">
        <v>-292</v>
      </c>
      <c r="AV404" s="8">
        <v>-1417</v>
      </c>
      <c r="AW404" s="8">
        <v>557</v>
      </c>
      <c r="AX404" s="8">
        <v>2371</v>
      </c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</row>
    <row r="405" spans="3:63" outlineLevel="1" x14ac:dyDescent="0.2">
      <c r="C405" s="4" t="s">
        <v>97</v>
      </c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35"/>
      <c r="P405" s="26"/>
      <c r="Q405" s="35"/>
      <c r="R405" s="26"/>
      <c r="T405" s="8"/>
      <c r="U405" s="26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</row>
    <row r="406" spans="3:63" outlineLevel="1" x14ac:dyDescent="0.2">
      <c r="C406" s="4" t="s">
        <v>170</v>
      </c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35"/>
      <c r="P406" s="26"/>
      <c r="Q406" s="35"/>
      <c r="R406" s="26"/>
      <c r="T406" s="8">
        <v>-102</v>
      </c>
      <c r="U406" s="26"/>
      <c r="V406" s="8">
        <v>14</v>
      </c>
      <c r="W406" s="8">
        <v>-20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  <c r="AC406" s="8">
        <v>0</v>
      </c>
      <c r="AD406" s="8">
        <v>0</v>
      </c>
      <c r="AE406" s="8">
        <v>0</v>
      </c>
      <c r="AF406" s="8">
        <v>0</v>
      </c>
      <c r="AG406" s="8">
        <v>0</v>
      </c>
      <c r="AH406" s="8">
        <v>0</v>
      </c>
      <c r="AI406" s="8">
        <v>0</v>
      </c>
      <c r="AJ406" s="8">
        <v>0</v>
      </c>
      <c r="AK406" s="8">
        <v>0</v>
      </c>
      <c r="AL406" s="8">
        <v>0</v>
      </c>
      <c r="AM406" s="8">
        <v>10</v>
      </c>
      <c r="AN406" s="8">
        <v>22</v>
      </c>
      <c r="AO406" s="8">
        <v>-137</v>
      </c>
      <c r="AP406" s="8">
        <v>-99</v>
      </c>
      <c r="AQ406" s="8">
        <v>-547</v>
      </c>
      <c r="AR406" s="8">
        <v>-502</v>
      </c>
      <c r="AS406" s="8">
        <v>589</v>
      </c>
      <c r="AT406" s="8">
        <v>540</v>
      </c>
      <c r="AU406" s="8">
        <v>332</v>
      </c>
      <c r="AV406" s="8">
        <v>102</v>
      </c>
      <c r="AW406" s="8">
        <v>-743</v>
      </c>
      <c r="AX406" s="8">
        <v>-1175</v>
      </c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</row>
    <row r="407" spans="3:63" outlineLevel="1" x14ac:dyDescent="0.2">
      <c r="C407" s="4" t="s">
        <v>171</v>
      </c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35"/>
      <c r="P407" s="26"/>
      <c r="Q407" s="35"/>
      <c r="R407" s="26"/>
      <c r="T407" s="8">
        <v>-1734</v>
      </c>
      <c r="U407" s="26"/>
      <c r="V407" s="8">
        <v>-733</v>
      </c>
      <c r="W407" s="8">
        <v>-883</v>
      </c>
      <c r="X407" s="8">
        <v>-862</v>
      </c>
      <c r="Y407" s="8">
        <v>-1047</v>
      </c>
      <c r="Z407" s="8">
        <v>-1800</v>
      </c>
      <c r="AA407" s="8">
        <v>-1199</v>
      </c>
      <c r="AB407" s="8">
        <v>-1335</v>
      </c>
      <c r="AC407" s="8">
        <v>20</v>
      </c>
      <c r="AD407" s="8">
        <v>79</v>
      </c>
      <c r="AE407" s="8">
        <v>141</v>
      </c>
      <c r="AF407" s="8">
        <v>-125</v>
      </c>
      <c r="AG407" s="8">
        <v>197</v>
      </c>
      <c r="AH407" s="8">
        <v>481</v>
      </c>
      <c r="AI407" s="8">
        <v>-189</v>
      </c>
      <c r="AJ407" s="8">
        <v>-848</v>
      </c>
      <c r="AK407" s="8">
        <v>201</v>
      </c>
      <c r="AL407" s="8">
        <v>46</v>
      </c>
      <c r="AM407" s="8">
        <v>-379</v>
      </c>
      <c r="AN407" s="8">
        <v>-881</v>
      </c>
      <c r="AO407" s="8">
        <v>329</v>
      </c>
      <c r="AP407" s="8">
        <v>-751</v>
      </c>
      <c r="AQ407" s="8">
        <v>-1930</v>
      </c>
      <c r="AR407" s="8">
        <v>-3500</v>
      </c>
      <c r="AS407" s="8">
        <v>-287</v>
      </c>
      <c r="AT407" s="8">
        <v>-2059</v>
      </c>
      <c r="AU407" s="8">
        <v>-2598</v>
      </c>
      <c r="AV407" s="8">
        <v>-1274</v>
      </c>
      <c r="AW407" s="8">
        <v>-382</v>
      </c>
      <c r="AX407" s="8">
        <v>-991</v>
      </c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</row>
    <row r="408" spans="3:63" outlineLevel="1" x14ac:dyDescent="0.2">
      <c r="C408" s="4" t="s">
        <v>172</v>
      </c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35"/>
      <c r="P408" s="26"/>
      <c r="Q408" s="35"/>
      <c r="R408" s="26"/>
      <c r="T408" s="8">
        <v>-882</v>
      </c>
      <c r="U408" s="26"/>
      <c r="V408" s="8">
        <v>-105</v>
      </c>
      <c r="W408" s="8">
        <v>-151</v>
      </c>
      <c r="X408" s="8">
        <v>-360</v>
      </c>
      <c r="Y408" s="8">
        <v>-424</v>
      </c>
      <c r="Z408" s="8">
        <v>-496</v>
      </c>
      <c r="AA408" s="8">
        <v>-1674</v>
      </c>
      <c r="AB408" s="8">
        <v>-2299</v>
      </c>
      <c r="AC408" s="8">
        <v>-658</v>
      </c>
      <c r="AD408" s="8">
        <v>-887</v>
      </c>
      <c r="AE408" s="8">
        <v>-1803</v>
      </c>
      <c r="AF408" s="8">
        <v>-2307</v>
      </c>
      <c r="AG408" s="8">
        <v>-349</v>
      </c>
      <c r="AH408" s="8">
        <v>-450</v>
      </c>
      <c r="AI408" s="8">
        <v>-254</v>
      </c>
      <c r="AJ408" s="8">
        <v>407</v>
      </c>
      <c r="AK408" s="8">
        <v>1047</v>
      </c>
      <c r="AL408" s="8">
        <v>662</v>
      </c>
      <c r="AM408" s="8">
        <v>-2993</v>
      </c>
      <c r="AN408" s="8">
        <v>-930</v>
      </c>
      <c r="AO408" s="8">
        <v>-684</v>
      </c>
      <c r="AP408" s="8">
        <v>-1583</v>
      </c>
      <c r="AQ408" s="8">
        <v>-807</v>
      </c>
      <c r="AR408" s="8">
        <v>-1285</v>
      </c>
      <c r="AS408" s="8">
        <v>-455</v>
      </c>
      <c r="AT408" s="8">
        <v>527</v>
      </c>
      <c r="AU408" s="8">
        <v>444</v>
      </c>
      <c r="AV408" s="8">
        <v>-2671</v>
      </c>
      <c r="AW408" s="8">
        <v>-520</v>
      </c>
      <c r="AX408" s="8">
        <v>-2024</v>
      </c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</row>
    <row r="409" spans="3:63" outlineLevel="1" x14ac:dyDescent="0.2">
      <c r="C409" s="4" t="s">
        <v>94</v>
      </c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35"/>
      <c r="P409" s="26"/>
      <c r="Q409" s="35"/>
      <c r="R409" s="26"/>
      <c r="T409" s="8"/>
      <c r="U409" s="26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</row>
    <row r="410" spans="3:63" outlineLevel="1" x14ac:dyDescent="0.2">
      <c r="C410" s="4" t="s">
        <v>170</v>
      </c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35"/>
      <c r="P410" s="26"/>
      <c r="Q410" s="35"/>
      <c r="R410" s="26"/>
      <c r="T410" s="8">
        <v>-9646</v>
      </c>
      <c r="U410" s="26"/>
      <c r="V410" s="8">
        <v>-5881</v>
      </c>
      <c r="W410" s="8">
        <v>-5957</v>
      </c>
      <c r="X410" s="8">
        <v>-12514</v>
      </c>
      <c r="Y410" s="8">
        <v>-3482</v>
      </c>
      <c r="Z410" s="8">
        <v>-7192</v>
      </c>
      <c r="AA410" s="8">
        <v>-10627</v>
      </c>
      <c r="AB410" s="8">
        <v>-14398</v>
      </c>
      <c r="AC410" s="8">
        <v>-3936</v>
      </c>
      <c r="AD410" s="8">
        <v>-7589</v>
      </c>
      <c r="AE410" s="8">
        <v>-11447</v>
      </c>
      <c r="AF410" s="8">
        <v>-15417</v>
      </c>
      <c r="AG410" s="8">
        <v>-4291</v>
      </c>
      <c r="AH410" s="8">
        <v>-11016</v>
      </c>
      <c r="AI410" s="8">
        <v>-17493</v>
      </c>
      <c r="AJ410" s="8">
        <v>-23901</v>
      </c>
      <c r="AK410" s="8">
        <v>-6368</v>
      </c>
      <c r="AL410" s="8">
        <v>-12572</v>
      </c>
      <c r="AM410" s="8">
        <v>-18927</v>
      </c>
      <c r="AN410" s="8">
        <v>-27083</v>
      </c>
      <c r="AO410" s="8">
        <v>-7471</v>
      </c>
      <c r="AP410" s="8">
        <v>-15021</v>
      </c>
      <c r="AQ410" s="8">
        <v>-22901</v>
      </c>
      <c r="AR410" s="8">
        <v>-31835</v>
      </c>
      <c r="AS410" s="8">
        <v>-9152</v>
      </c>
      <c r="AT410" s="8">
        <v>-18996</v>
      </c>
      <c r="AU410" s="8">
        <v>-29883</v>
      </c>
      <c r="AV410" s="8">
        <v>-44805</v>
      </c>
      <c r="AW410" s="8">
        <v>-12857</v>
      </c>
      <c r="AX410" s="8">
        <v>-25573</v>
      </c>
      <c r="BA410" s="15"/>
      <c r="BB410" s="15"/>
      <c r="BC410" s="15"/>
      <c r="BD410" s="9"/>
      <c r="BE410" s="9"/>
      <c r="BF410" s="9"/>
      <c r="BG410" s="9"/>
      <c r="BH410" s="9"/>
      <c r="BI410" s="9"/>
      <c r="BJ410" s="9"/>
      <c r="BK410" s="9"/>
    </row>
    <row r="411" spans="3:63" outlineLevel="1" x14ac:dyDescent="0.2">
      <c r="C411" s="4" t="s">
        <v>171</v>
      </c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35"/>
      <c r="P411" s="26"/>
      <c r="Q411" s="35"/>
      <c r="R411" s="26"/>
      <c r="T411" s="8">
        <v>-1693</v>
      </c>
      <c r="U411" s="26"/>
      <c r="V411" s="8">
        <v>-2096</v>
      </c>
      <c r="W411" s="8">
        <v>-3158</v>
      </c>
      <c r="X411" s="8">
        <v>-4361</v>
      </c>
      <c r="Y411" s="8">
        <v>-1307</v>
      </c>
      <c r="Z411" s="8">
        <v>-2791</v>
      </c>
      <c r="AA411" s="8">
        <v>-3842</v>
      </c>
      <c r="AB411" s="8">
        <v>-5206</v>
      </c>
      <c r="AC411" s="8">
        <v>-1408</v>
      </c>
      <c r="AD411" s="8">
        <v>-3457</v>
      </c>
      <c r="AE411" s="8">
        <v>-5314</v>
      </c>
      <c r="AF411" s="8">
        <v>-7624</v>
      </c>
      <c r="AG411" s="8">
        <v>-2048</v>
      </c>
      <c r="AH411" s="8">
        <v>-4265</v>
      </c>
      <c r="AI411" s="8">
        <v>-7297</v>
      </c>
      <c r="AJ411" s="8">
        <v>-10496</v>
      </c>
      <c r="AK411" s="8">
        <v>-3812</v>
      </c>
      <c r="AL411" s="8">
        <v>-6796</v>
      </c>
      <c r="AM411" s="8">
        <v>-10422</v>
      </c>
      <c r="AN411" s="8">
        <v>-12192</v>
      </c>
      <c r="AO411" s="8">
        <v>-4134</v>
      </c>
      <c r="AP411" s="8">
        <v>-7913</v>
      </c>
      <c r="AQ411" s="8">
        <v>-12217</v>
      </c>
      <c r="AR411" s="8">
        <v>-16729</v>
      </c>
      <c r="AS411" s="8">
        <v>-5327</v>
      </c>
      <c r="AT411" s="8">
        <v>-13224</v>
      </c>
      <c r="AU411" s="8">
        <v>-21243</v>
      </c>
      <c r="AV411" s="8">
        <v>-28917</v>
      </c>
      <c r="AW411" s="8">
        <v>-9352</v>
      </c>
      <c r="AX411" s="8">
        <v>-17427</v>
      </c>
      <c r="BA411" s="15"/>
      <c r="BB411" s="15"/>
      <c r="BC411" s="15"/>
      <c r="BD411" s="9"/>
      <c r="BE411" s="9"/>
      <c r="BF411" s="9"/>
      <c r="BG411" s="9"/>
      <c r="BH411" s="9"/>
      <c r="BI411" s="9"/>
      <c r="BJ411" s="9"/>
      <c r="BK411" s="9"/>
    </row>
    <row r="412" spans="3:63" outlineLevel="1" x14ac:dyDescent="0.2">
      <c r="C412" s="4" t="s">
        <v>172</v>
      </c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35"/>
      <c r="P412" s="26"/>
      <c r="Q412" s="35"/>
      <c r="R412" s="26"/>
      <c r="T412" s="8">
        <v>-2058</v>
      </c>
      <c r="U412" s="26"/>
      <c r="V412" s="8">
        <v>-1089</v>
      </c>
      <c r="W412" s="8">
        <v>-5067</v>
      </c>
      <c r="X412" s="8">
        <v>-2679</v>
      </c>
      <c r="Y412" s="8">
        <v>-975</v>
      </c>
      <c r="Z412" s="8">
        <v>-1500</v>
      </c>
      <c r="AA412" s="8">
        <v>-2406</v>
      </c>
      <c r="AB412" s="8">
        <v>-3636</v>
      </c>
      <c r="AC412" s="8">
        <v>-465</v>
      </c>
      <c r="AD412" s="8">
        <v>-1485</v>
      </c>
      <c r="AE412" s="8">
        <v>-2039</v>
      </c>
      <c r="AF412" s="8">
        <v>-3290</v>
      </c>
      <c r="AG412" s="8">
        <v>-1093</v>
      </c>
      <c r="AH412" s="8">
        <v>-2192</v>
      </c>
      <c r="AI412" s="8">
        <v>-2186</v>
      </c>
      <c r="AJ412" s="8">
        <v>-2777</v>
      </c>
      <c r="AK412" s="8">
        <v>-1326</v>
      </c>
      <c r="AL412" s="8">
        <v>-2159</v>
      </c>
      <c r="AM412" s="8">
        <v>-2534</v>
      </c>
      <c r="AN412" s="8">
        <v>-3793</v>
      </c>
      <c r="AO412" s="8">
        <v>-1502</v>
      </c>
      <c r="AP412" s="8">
        <v>-2415</v>
      </c>
      <c r="AQ412" s="8">
        <v>-2872</v>
      </c>
      <c r="AR412" s="8">
        <v>-4540</v>
      </c>
      <c r="AS412" s="8">
        <v>-1707</v>
      </c>
      <c r="AT412" s="8">
        <v>-2440</v>
      </c>
      <c r="AU412" s="8">
        <v>-2874</v>
      </c>
      <c r="AV412" s="8">
        <v>-1459</v>
      </c>
      <c r="AW412" s="8">
        <v>-1743</v>
      </c>
      <c r="AX412" s="8">
        <v>-1485</v>
      </c>
      <c r="BA412" s="15"/>
      <c r="BB412" s="15"/>
      <c r="BC412" s="15"/>
      <c r="BD412" s="9"/>
      <c r="BE412" s="9"/>
      <c r="BF412" s="9"/>
      <c r="BG412" s="9"/>
      <c r="BH412" s="9"/>
      <c r="BI412" s="9"/>
      <c r="BJ412" s="9"/>
      <c r="BK412" s="9"/>
    </row>
    <row r="413" spans="3:63" outlineLevel="1" x14ac:dyDescent="0.2">
      <c r="C413" s="4" t="s">
        <v>186</v>
      </c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35"/>
      <c r="P413" s="26"/>
      <c r="Q413" s="35"/>
      <c r="R413" s="26"/>
      <c r="T413" s="8"/>
      <c r="U413" s="26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</row>
    <row r="414" spans="3:63" outlineLevel="1" x14ac:dyDescent="0.2">
      <c r="C414" s="4" t="s">
        <v>170</v>
      </c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35"/>
      <c r="P414" s="26"/>
      <c r="Q414" s="35"/>
      <c r="R414" s="26"/>
      <c r="T414" s="8">
        <v>0</v>
      </c>
      <c r="U414" s="26"/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  <c r="AC414" s="8">
        <v>-672</v>
      </c>
      <c r="AD414" s="8">
        <v>-1588</v>
      </c>
      <c r="AE414" s="8">
        <v>-2587</v>
      </c>
      <c r="AF414" s="8">
        <v>-3681</v>
      </c>
      <c r="AG414" s="8">
        <v>-2031</v>
      </c>
      <c r="AH414" s="8">
        <v>-4917</v>
      </c>
      <c r="AI414" s="8">
        <v>-8142</v>
      </c>
      <c r="AJ414" s="8">
        <v>-11835</v>
      </c>
      <c r="AK414" s="8">
        <v>-2911</v>
      </c>
      <c r="AL414" s="8">
        <v>-7181</v>
      </c>
      <c r="AM414" s="8">
        <v>-10810</v>
      </c>
      <c r="AN414" s="8">
        <v>-11463</v>
      </c>
      <c r="AO414" s="8">
        <v>-3811</v>
      </c>
      <c r="AP414" s="8">
        <v>-6487</v>
      </c>
      <c r="AQ414" s="8">
        <v>-8516</v>
      </c>
      <c r="AR414" s="8">
        <v>-21984</v>
      </c>
      <c r="AS414" s="8">
        <v>-8852</v>
      </c>
      <c r="AT414" s="8">
        <v>-17839</v>
      </c>
      <c r="AU414" s="8">
        <v>-19330</v>
      </c>
      <c r="AV414" s="8">
        <v>-19579</v>
      </c>
      <c r="AW414" s="8">
        <v>-11335</v>
      </c>
      <c r="AX414" s="8">
        <v>-21118</v>
      </c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</row>
    <row r="415" spans="3:63" outlineLevel="1" x14ac:dyDescent="0.2">
      <c r="C415" s="4" t="s">
        <v>171</v>
      </c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35"/>
      <c r="P415" s="26"/>
      <c r="Q415" s="35"/>
      <c r="R415" s="26"/>
      <c r="T415" s="8">
        <v>0</v>
      </c>
      <c r="U415" s="26"/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  <c r="AD415" s="8">
        <v>0</v>
      </c>
      <c r="AE415" s="8">
        <v>0</v>
      </c>
      <c r="AF415" s="8">
        <v>0</v>
      </c>
      <c r="AG415" s="8">
        <v>0</v>
      </c>
      <c r="AH415" s="8">
        <v>0</v>
      </c>
      <c r="AI415" s="8">
        <v>0</v>
      </c>
      <c r="AJ415" s="8">
        <v>0</v>
      </c>
      <c r="AK415" s="8">
        <v>0</v>
      </c>
      <c r="AL415" s="8">
        <v>0</v>
      </c>
      <c r="AM415" s="8">
        <v>0</v>
      </c>
      <c r="AN415" s="8">
        <v>0</v>
      </c>
      <c r="AO415" s="8">
        <v>0</v>
      </c>
      <c r="AP415" s="8">
        <v>0</v>
      </c>
      <c r="AQ415" s="8">
        <v>0</v>
      </c>
      <c r="AR415" s="8">
        <v>0</v>
      </c>
      <c r="AS415" s="8">
        <v>0</v>
      </c>
      <c r="AT415" s="8">
        <v>0</v>
      </c>
      <c r="AU415" s="8">
        <v>0</v>
      </c>
      <c r="AV415" s="8">
        <v>0</v>
      </c>
      <c r="AW415" s="8">
        <v>-7015</v>
      </c>
      <c r="AX415" s="8">
        <v>-20374</v>
      </c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</row>
    <row r="416" spans="3:63" outlineLevel="1" x14ac:dyDescent="0.2">
      <c r="C416" s="4" t="s">
        <v>172</v>
      </c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35"/>
      <c r="P416" s="26"/>
      <c r="Q416" s="35"/>
      <c r="R416" s="26"/>
      <c r="T416" s="8">
        <v>0</v>
      </c>
      <c r="U416" s="26"/>
      <c r="V416" s="8">
        <v>0</v>
      </c>
      <c r="W416" s="8">
        <v>0</v>
      </c>
      <c r="X416" s="8">
        <v>-759</v>
      </c>
      <c r="Y416" s="8">
        <v>-540</v>
      </c>
      <c r="Z416" s="8">
        <v>-1190</v>
      </c>
      <c r="AA416" s="8">
        <v>-1958</v>
      </c>
      <c r="AB416" s="8">
        <v>-2639</v>
      </c>
      <c r="AC416" s="8">
        <v>-516</v>
      </c>
      <c r="AD416" s="8">
        <v>-859</v>
      </c>
      <c r="AE416" s="8">
        <v>-1261</v>
      </c>
      <c r="AF416" s="8">
        <v>-1762</v>
      </c>
      <c r="AG416" s="8">
        <v>-377</v>
      </c>
      <c r="AH416" s="8">
        <v>-803</v>
      </c>
      <c r="AI416" s="8">
        <v>-1227</v>
      </c>
      <c r="AJ416" s="8">
        <v>-2019</v>
      </c>
      <c r="AK416" s="8">
        <v>-144</v>
      </c>
      <c r="AL416" s="8">
        <v>-422</v>
      </c>
      <c r="AM416" s="8">
        <v>-475</v>
      </c>
      <c r="AN416" s="8">
        <v>-539</v>
      </c>
      <c r="AO416" s="8">
        <v>-71</v>
      </c>
      <c r="AP416" s="8">
        <v>-71</v>
      </c>
      <c r="AQ416" s="8">
        <v>-292</v>
      </c>
      <c r="AR416" s="8">
        <v>-488</v>
      </c>
      <c r="AS416" s="8">
        <v>-181</v>
      </c>
      <c r="AT416" s="8">
        <v>-384</v>
      </c>
      <c r="AU416" s="8">
        <v>-2612</v>
      </c>
      <c r="AV416" s="8">
        <v>-7664</v>
      </c>
      <c r="AW416" s="8">
        <v>-999</v>
      </c>
      <c r="AX416" s="8">
        <v>2318</v>
      </c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</row>
    <row r="417" spans="3:63" outlineLevel="1" x14ac:dyDescent="0.2">
      <c r="C417" s="4" t="s">
        <v>180</v>
      </c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35"/>
      <c r="P417" s="26"/>
      <c r="Q417" s="35"/>
      <c r="R417" s="26"/>
      <c r="T417" s="8"/>
      <c r="U417" s="26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</row>
    <row r="418" spans="3:63" outlineLevel="1" x14ac:dyDescent="0.2">
      <c r="C418" s="4" t="s">
        <v>170</v>
      </c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35"/>
      <c r="P418" s="26"/>
      <c r="Q418" s="35"/>
      <c r="R418" s="26"/>
      <c r="T418" s="8">
        <v>-9439</v>
      </c>
      <c r="U418" s="26"/>
      <c r="V418" s="8">
        <v>-5197</v>
      </c>
      <c r="W418" s="8">
        <v>-9184</v>
      </c>
      <c r="X418" s="8">
        <v>-11008</v>
      </c>
      <c r="Y418" s="8">
        <v>-2551</v>
      </c>
      <c r="Z418" s="8">
        <v>-5167</v>
      </c>
      <c r="AA418" s="8">
        <v>-7853</v>
      </c>
      <c r="AB418" s="8">
        <v>-13436</v>
      </c>
      <c r="AC418" s="8">
        <v>-2675</v>
      </c>
      <c r="AD418" s="8">
        <v>-4994</v>
      </c>
      <c r="AE418" s="8">
        <v>-7503</v>
      </c>
      <c r="AF418" s="8">
        <v>-10589</v>
      </c>
      <c r="AG418" s="8">
        <v>-3272</v>
      </c>
      <c r="AH418" s="8">
        <v>-7749</v>
      </c>
      <c r="AI418" s="8">
        <v>-12804</v>
      </c>
      <c r="AJ418" s="8">
        <v>-17657</v>
      </c>
      <c r="AK418" s="8">
        <v>-5067</v>
      </c>
      <c r="AL418" s="8">
        <v>-10407</v>
      </c>
      <c r="AM418" s="8">
        <v>-15904</v>
      </c>
      <c r="AN418" s="8">
        <v>-21953</v>
      </c>
      <c r="AO418" s="8">
        <v>-5355</v>
      </c>
      <c r="AP418" s="8">
        <v>-12080</v>
      </c>
      <c r="AQ418" s="8">
        <v>-18745</v>
      </c>
      <c r="AR418" s="8">
        <v>-27216</v>
      </c>
      <c r="AS418" s="8">
        <v>-7013</v>
      </c>
      <c r="AT418" s="8">
        <v>-17330</v>
      </c>
      <c r="AU418" s="8">
        <v>-26715</v>
      </c>
      <c r="AV418" s="8">
        <v>-38159</v>
      </c>
      <c r="AW418" s="8">
        <v>-8904</v>
      </c>
      <c r="AX418" s="8">
        <v>-18703</v>
      </c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</row>
    <row r="419" spans="3:63" outlineLevel="1" x14ac:dyDescent="0.2">
      <c r="C419" s="4" t="s">
        <v>171</v>
      </c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35"/>
      <c r="P419" s="26"/>
      <c r="Q419" s="35"/>
      <c r="R419" s="26"/>
      <c r="T419" s="8">
        <v>-955</v>
      </c>
      <c r="U419" s="26"/>
      <c r="V419" s="8">
        <v>-714</v>
      </c>
      <c r="W419" s="8">
        <v>-851</v>
      </c>
      <c r="X419" s="8">
        <v>-1841</v>
      </c>
      <c r="Y419" s="8">
        <v>-601</v>
      </c>
      <c r="Z419" s="8">
        <v>-933</v>
      </c>
      <c r="AA419" s="8">
        <v>-1274</v>
      </c>
      <c r="AB419" s="8">
        <v>-1844</v>
      </c>
      <c r="AC419" s="8">
        <v>-489</v>
      </c>
      <c r="AD419" s="8">
        <v>-970</v>
      </c>
      <c r="AE419" s="8">
        <v>-1460</v>
      </c>
      <c r="AF419" s="8">
        <v>-2027</v>
      </c>
      <c r="AG419" s="8">
        <v>-538</v>
      </c>
      <c r="AH419" s="8">
        <v>-1151</v>
      </c>
      <c r="AI419" s="8">
        <v>-1981</v>
      </c>
      <c r="AJ419" s="8">
        <v>-2814</v>
      </c>
      <c r="AK419" s="8">
        <v>-840</v>
      </c>
      <c r="AL419" s="8">
        <v>-3721</v>
      </c>
      <c r="AM419" s="8">
        <v>-4523</v>
      </c>
      <c r="AN419" s="8">
        <v>-5380</v>
      </c>
      <c r="AO419" s="8">
        <v>-1247</v>
      </c>
      <c r="AP419" s="8">
        <v>-2380</v>
      </c>
      <c r="AQ419" s="8">
        <v>-4073</v>
      </c>
      <c r="AR419" s="8">
        <v>-5880</v>
      </c>
      <c r="AS419" s="8">
        <v>-1368</v>
      </c>
      <c r="AT419" s="8">
        <v>-4084</v>
      </c>
      <c r="AU419" s="8">
        <v>-6594</v>
      </c>
      <c r="AV419" s="8">
        <v>-10755</v>
      </c>
      <c r="AW419" s="8">
        <v>-2476</v>
      </c>
      <c r="AX419" s="8">
        <v>-5171</v>
      </c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</row>
    <row r="420" spans="3:63" outlineLevel="1" x14ac:dyDescent="0.2">
      <c r="C420" s="4" t="s">
        <v>172</v>
      </c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35"/>
      <c r="P420" s="26"/>
      <c r="Q420" s="35"/>
      <c r="R420" s="26"/>
      <c r="T420" s="8">
        <v>-577</v>
      </c>
      <c r="U420" s="26"/>
      <c r="V420" s="8">
        <v>-744</v>
      </c>
      <c r="W420" s="8">
        <v>-773</v>
      </c>
      <c r="X420" s="8">
        <v>-2447</v>
      </c>
      <c r="Y420" s="8">
        <v>-578</v>
      </c>
      <c r="Z420" s="8">
        <v>-1400</v>
      </c>
      <c r="AA420" s="8">
        <v>-2136</v>
      </c>
      <c r="AB420" s="8">
        <v>-963</v>
      </c>
      <c r="AC420" s="8">
        <v>-1074</v>
      </c>
      <c r="AD420" s="8">
        <v>-2303</v>
      </c>
      <c r="AE420" s="8">
        <v>-3422</v>
      </c>
      <c r="AF420" s="8">
        <v>-4207</v>
      </c>
      <c r="AG420" s="8">
        <v>-1323</v>
      </c>
      <c r="AH420" s="8">
        <v>-3371</v>
      </c>
      <c r="AI420" s="8">
        <v>-5327</v>
      </c>
      <c r="AJ420" s="8">
        <v>-7125</v>
      </c>
      <c r="AK420" s="8">
        <v>-2129</v>
      </c>
      <c r="AL420" s="8">
        <v>-4680</v>
      </c>
      <c r="AM420" s="8">
        <v>-5882</v>
      </c>
      <c r="AN420" s="8">
        <v>-7444</v>
      </c>
      <c r="AO420" s="8">
        <v>-1471</v>
      </c>
      <c r="AP420" s="8">
        <v>-3816</v>
      </c>
      <c r="AQ420" s="8">
        <v>-5074</v>
      </c>
      <c r="AR420" s="8">
        <v>-8280</v>
      </c>
      <c r="AS420" s="8">
        <v>-2117</v>
      </c>
      <c r="AT420" s="8">
        <v>-2320</v>
      </c>
      <c r="AU420" s="8">
        <v>-5059</v>
      </c>
      <c r="AV420" s="8">
        <v>-8036</v>
      </c>
      <c r="AW420" s="8">
        <v>-3226</v>
      </c>
      <c r="AX420" s="8">
        <v>-8260</v>
      </c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</row>
    <row r="421" spans="3:63" outlineLevel="1" x14ac:dyDescent="0.2">
      <c r="C421" s="4" t="s">
        <v>181</v>
      </c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35"/>
      <c r="P421" s="26"/>
      <c r="Q421" s="35"/>
      <c r="R421" s="26"/>
      <c r="T421" s="8"/>
      <c r="U421" s="26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Z421" s="12"/>
      <c r="BA421" s="132"/>
      <c r="BB421" s="118"/>
      <c r="BC421" s="83"/>
      <c r="BD421" s="83"/>
      <c r="BE421" s="83"/>
      <c r="BF421" s="9"/>
      <c r="BG421" s="9"/>
      <c r="BH421" s="9"/>
      <c r="BI421" s="9"/>
      <c r="BJ421" s="9"/>
      <c r="BK421" s="9"/>
    </row>
    <row r="422" spans="3:63" outlineLevel="1" x14ac:dyDescent="0.2">
      <c r="C422" s="4" t="s">
        <v>170</v>
      </c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35"/>
      <c r="P422" s="26"/>
      <c r="Q422" s="35"/>
      <c r="R422" s="26"/>
      <c r="T422" s="8">
        <v>0</v>
      </c>
      <c r="U422" s="26"/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  <c r="AC422" s="8">
        <v>0</v>
      </c>
      <c r="AD422" s="8">
        <v>0</v>
      </c>
      <c r="AE422" s="8">
        <v>0</v>
      </c>
      <c r="AF422" s="8">
        <v>0</v>
      </c>
      <c r="AG422" s="8">
        <v>0</v>
      </c>
      <c r="AH422" s="8">
        <v>0</v>
      </c>
      <c r="AI422" s="8">
        <v>0</v>
      </c>
      <c r="AJ422" s="8">
        <v>0</v>
      </c>
      <c r="AK422" s="8">
        <v>-4743</v>
      </c>
      <c r="AL422" s="8">
        <v>-2999</v>
      </c>
      <c r="AM422" s="8">
        <v>-8028</v>
      </c>
      <c r="AN422" s="8">
        <v>-2732</v>
      </c>
      <c r="AO422" s="8">
        <v>-1045</v>
      </c>
      <c r="AP422" s="8">
        <v>-1610</v>
      </c>
      <c r="AQ422" s="8">
        <v>-5932</v>
      </c>
      <c r="AR422" s="8">
        <v>-22803</v>
      </c>
      <c r="AS422" s="8">
        <v>-9556</v>
      </c>
      <c r="AT422" s="8">
        <v>-20694</v>
      </c>
      <c r="AU422" s="8">
        <v>-43755</v>
      </c>
      <c r="AV422" s="8">
        <v>-59602</v>
      </c>
      <c r="AW422" s="8">
        <v>-11806</v>
      </c>
      <c r="AX422" s="8">
        <v>-28632</v>
      </c>
      <c r="AZ422" s="83"/>
      <c r="BA422" s="118"/>
      <c r="BB422" s="83"/>
      <c r="BC422" s="83"/>
      <c r="BD422" s="83"/>
      <c r="BE422" s="83"/>
      <c r="BF422" s="9"/>
      <c r="BG422" s="9"/>
      <c r="BH422" s="9"/>
      <c r="BI422" s="9"/>
      <c r="BJ422" s="9"/>
      <c r="BK422" s="9"/>
    </row>
    <row r="423" spans="3:63" outlineLevel="1" x14ac:dyDescent="0.2">
      <c r="C423" s="4" t="s">
        <v>171</v>
      </c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35"/>
      <c r="P423" s="26"/>
      <c r="Q423" s="35"/>
      <c r="R423" s="26"/>
      <c r="T423" s="8">
        <v>-3464</v>
      </c>
      <c r="U423" s="26"/>
      <c r="V423" s="8">
        <v>-963</v>
      </c>
      <c r="W423" s="8">
        <v>-1502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  <c r="AC423" s="8">
        <v>0</v>
      </c>
      <c r="AD423" s="8">
        <v>0</v>
      </c>
      <c r="AE423" s="8">
        <v>0</v>
      </c>
      <c r="AF423" s="8">
        <v>0</v>
      </c>
      <c r="AG423" s="8">
        <v>0</v>
      </c>
      <c r="AH423" s="8">
        <v>0</v>
      </c>
      <c r="AI423" s="8">
        <v>0</v>
      </c>
      <c r="AJ423" s="8">
        <v>0</v>
      </c>
      <c r="AK423" s="8">
        <v>0</v>
      </c>
      <c r="AL423" s="8">
        <v>0</v>
      </c>
      <c r="AM423" s="8">
        <v>0</v>
      </c>
      <c r="AN423" s="8">
        <v>0</v>
      </c>
      <c r="AO423" s="8">
        <v>0</v>
      </c>
      <c r="AP423" s="8">
        <v>0</v>
      </c>
      <c r="AQ423" s="8">
        <v>0</v>
      </c>
      <c r="AR423" s="8">
        <v>0</v>
      </c>
      <c r="AS423" s="8">
        <v>0</v>
      </c>
      <c r="AT423" s="8">
        <v>0</v>
      </c>
      <c r="AU423" s="8">
        <v>0</v>
      </c>
      <c r="AV423" s="8">
        <v>0</v>
      </c>
      <c r="AW423" s="8">
        <v>0</v>
      </c>
      <c r="AX423" s="8">
        <v>0</v>
      </c>
      <c r="AZ423" s="83"/>
      <c r="BA423" s="118"/>
      <c r="BB423" s="83"/>
      <c r="BC423" s="83"/>
      <c r="BD423" s="83"/>
      <c r="BE423" s="83"/>
      <c r="BF423" s="9"/>
      <c r="BG423" s="9"/>
      <c r="BH423" s="9"/>
      <c r="BI423" s="9"/>
      <c r="BJ423" s="9"/>
      <c r="BK423" s="9"/>
    </row>
    <row r="424" spans="3:63" outlineLevel="1" x14ac:dyDescent="0.2">
      <c r="C424" s="4" t="s">
        <v>172</v>
      </c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35"/>
      <c r="P424" s="26"/>
      <c r="Q424" s="35"/>
      <c r="R424" s="26"/>
      <c r="T424" s="8">
        <v>-11420</v>
      </c>
      <c r="U424" s="26"/>
      <c r="V424" s="8">
        <v>-6159</v>
      </c>
      <c r="W424" s="8">
        <v>-9248</v>
      </c>
      <c r="X424" s="8">
        <v>-14214</v>
      </c>
      <c r="Y424" s="8">
        <v>-3864</v>
      </c>
      <c r="Z424" s="8">
        <v>-8396</v>
      </c>
      <c r="AA424" s="8">
        <v>-13232</v>
      </c>
      <c r="AB424" s="8">
        <v>-17094</v>
      </c>
      <c r="AC424" s="8">
        <v>-3568</v>
      </c>
      <c r="AD424" s="8">
        <v>-6315</v>
      </c>
      <c r="AE424" s="8">
        <v>-8574</v>
      </c>
      <c r="AF424" s="8">
        <v>-11885</v>
      </c>
      <c r="AG424" s="8">
        <v>-4145</v>
      </c>
      <c r="AH424" s="8">
        <v>-9265</v>
      </c>
      <c r="AI424" s="8">
        <v>-11540</v>
      </c>
      <c r="AJ424" s="8">
        <v>-14595</v>
      </c>
      <c r="AK424" s="8">
        <v>-6361</v>
      </c>
      <c r="AL424" s="8">
        <v>-14237</v>
      </c>
      <c r="AM424" s="8">
        <v>-25611</v>
      </c>
      <c r="AN424" s="8">
        <v>-32615</v>
      </c>
      <c r="AO424" s="8">
        <v>-8415</v>
      </c>
      <c r="AP424" s="8">
        <v>-12851</v>
      </c>
      <c r="AQ424" s="8">
        <v>-25295</v>
      </c>
      <c r="AR424" s="8">
        <v>-37202</v>
      </c>
      <c r="AS424" s="8">
        <v>-24318</v>
      </c>
      <c r="AT424" s="8">
        <v>-55336</v>
      </c>
      <c r="AU424" s="8">
        <v>-85047</v>
      </c>
      <c r="AV424" s="8">
        <v>-115268</v>
      </c>
      <c r="AW424" s="8">
        <v>-21959</v>
      </c>
      <c r="AX424" s="8">
        <v>-31791</v>
      </c>
      <c r="AY424" s="12"/>
      <c r="AZ424" s="83"/>
      <c r="BA424" s="118"/>
      <c r="BB424" s="9"/>
      <c r="BC424" s="118"/>
      <c r="BD424" s="83"/>
      <c r="BE424" s="83"/>
      <c r="BF424" s="161"/>
      <c r="BG424" s="9"/>
      <c r="BH424" s="9"/>
      <c r="BI424" s="9"/>
      <c r="BJ424" s="9"/>
      <c r="BK424" s="9"/>
    </row>
    <row r="425" spans="3:63" outlineLevel="1" x14ac:dyDescent="0.2">
      <c r="C425" s="78" t="s">
        <v>182</v>
      </c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1"/>
      <c r="P425" s="80"/>
      <c r="Q425" s="81"/>
      <c r="R425" s="80"/>
      <c r="S425" s="79"/>
      <c r="T425" s="82">
        <f>SUM(T373:T424)-SUM(T422:T424)</f>
        <v>-69501</v>
      </c>
      <c r="U425" s="80"/>
      <c r="V425" s="82">
        <f>SUM(V373:V424)-SUM(V422:V424)</f>
        <v>-45299</v>
      </c>
      <c r="W425" s="82">
        <f>SUM(W373:W424)-SUM(W421:W424)</f>
        <v>-70126</v>
      </c>
      <c r="X425" s="82">
        <f t="shared" ref="X425:AK425" si="225">SUM(X373:X424)-SUM(X422:X424)</f>
        <v>-97369</v>
      </c>
      <c r="Y425" s="82">
        <f t="shared" si="225"/>
        <v>-25182</v>
      </c>
      <c r="Z425" s="82">
        <f t="shared" si="225"/>
        <v>-52478</v>
      </c>
      <c r="AA425" s="82">
        <f t="shared" si="225"/>
        <v>-78868</v>
      </c>
      <c r="AB425" s="82">
        <f t="shared" si="225"/>
        <v>-108340</v>
      </c>
      <c r="AC425" s="82">
        <f t="shared" si="225"/>
        <v>-62946</v>
      </c>
      <c r="AD425" s="82">
        <f t="shared" si="225"/>
        <v>-74445</v>
      </c>
      <c r="AE425" s="82">
        <f t="shared" si="225"/>
        <v>-112723</v>
      </c>
      <c r="AF425" s="82">
        <f t="shared" si="225"/>
        <v>-138810</v>
      </c>
      <c r="AG425" s="82">
        <f t="shared" si="225"/>
        <v>-39347</v>
      </c>
      <c r="AH425" s="82">
        <f t="shared" si="225"/>
        <v>-86749</v>
      </c>
      <c r="AI425" s="82">
        <f t="shared" si="225"/>
        <v>-135567</v>
      </c>
      <c r="AJ425" s="82">
        <f t="shared" si="225"/>
        <v>-202083</v>
      </c>
      <c r="AK425" s="82">
        <f t="shared" si="225"/>
        <v>-108684</v>
      </c>
      <c r="AL425" s="82">
        <f t="shared" ref="AL425:AU425" si="226">SUM(AL373:AL424)-SUM(AL422:AL424)</f>
        <v>-236027</v>
      </c>
      <c r="AM425" s="82">
        <f t="shared" si="226"/>
        <v>-304864</v>
      </c>
      <c r="AN425" s="82">
        <f t="shared" si="226"/>
        <v>-333057</v>
      </c>
      <c r="AO425" s="82">
        <f t="shared" si="226"/>
        <v>-71577</v>
      </c>
      <c r="AP425" s="82">
        <f t="shared" si="226"/>
        <v>-146904</v>
      </c>
      <c r="AQ425" s="82">
        <f t="shared" si="226"/>
        <v>-226616</v>
      </c>
      <c r="AR425" s="82">
        <f t="shared" si="226"/>
        <v>-345030</v>
      </c>
      <c r="AS425" s="82">
        <f t="shared" si="226"/>
        <v>-144016</v>
      </c>
      <c r="AT425" s="82">
        <f t="shared" si="226"/>
        <v>-304744</v>
      </c>
      <c r="AU425" s="82">
        <f t="shared" si="226"/>
        <v>-486710</v>
      </c>
      <c r="AV425" s="82">
        <f t="shared" ref="AV425:AX425" si="227">SUM(AV373:AV424)-SUM(AV422:AV424)</f>
        <v>-736284</v>
      </c>
      <c r="AW425" s="82">
        <f t="shared" si="227"/>
        <v>-238669</v>
      </c>
      <c r="AX425" s="82">
        <f t="shared" si="227"/>
        <v>-474842</v>
      </c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</row>
    <row r="426" spans="3:63" outlineLevel="1" x14ac:dyDescent="0.2"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35"/>
      <c r="P426" s="26"/>
      <c r="Q426" s="35"/>
      <c r="R426" s="26"/>
      <c r="T426" s="35"/>
      <c r="U426" s="26"/>
      <c r="V426" s="83"/>
      <c r="W426" s="35"/>
      <c r="X426" s="35"/>
      <c r="Y426" s="83"/>
      <c r="Z426" s="83"/>
      <c r="AA426" s="83"/>
      <c r="AB426" s="83"/>
      <c r="AC426" s="83"/>
      <c r="AD426" s="83"/>
      <c r="AE426" s="83"/>
      <c r="AF426" s="83"/>
      <c r="AG426" s="83"/>
      <c r="AH426" s="83"/>
      <c r="AI426" s="83"/>
      <c r="AJ426" s="83"/>
      <c r="AK426" s="83"/>
      <c r="AL426" s="83"/>
      <c r="AM426" s="83"/>
      <c r="AN426" s="83"/>
      <c r="AO426" s="83"/>
      <c r="AP426" s="83"/>
      <c r="AQ426" s="83"/>
      <c r="AR426" s="83"/>
      <c r="AS426" s="83"/>
      <c r="AT426" s="83"/>
      <c r="AU426" s="83"/>
      <c r="AV426" s="83"/>
      <c r="AW426" s="83"/>
      <c r="AX426" s="83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</row>
    <row r="427" spans="3:63" outlineLevel="1" x14ac:dyDescent="0.2">
      <c r="C427" s="112" t="s">
        <v>183</v>
      </c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124">
        <f>SUM(R428:R430)</f>
        <v>41650</v>
      </c>
      <c r="S427" s="9"/>
      <c r="T427" s="124">
        <f>SUM(T428:T430)</f>
        <v>36659</v>
      </c>
      <c r="U427" s="35"/>
      <c r="V427" s="124">
        <f t="shared" ref="V427:AF427" si="228">SUM(V428:V430)</f>
        <v>12272</v>
      </c>
      <c r="W427" s="124">
        <f t="shared" si="228"/>
        <v>18341</v>
      </c>
      <c r="X427" s="124">
        <f t="shared" si="228"/>
        <v>20825</v>
      </c>
      <c r="Y427" s="124">
        <f t="shared" si="228"/>
        <v>6704</v>
      </c>
      <c r="Z427" s="124">
        <f t="shared" si="228"/>
        <v>16226</v>
      </c>
      <c r="AA427" s="124">
        <f t="shared" si="228"/>
        <v>27401</v>
      </c>
      <c r="AB427" s="124">
        <f t="shared" si="228"/>
        <v>38326</v>
      </c>
      <c r="AC427" s="124">
        <f t="shared" si="228"/>
        <v>-14702</v>
      </c>
      <c r="AD427" s="124">
        <f t="shared" si="228"/>
        <v>12313</v>
      </c>
      <c r="AE427" s="124">
        <f t="shared" si="228"/>
        <v>27284</v>
      </c>
      <c r="AF427" s="124">
        <f t="shared" si="228"/>
        <v>48547</v>
      </c>
      <c r="AG427" s="124">
        <f t="shared" ref="AG427:AL427" si="229">SUM(AG428:AG430)</f>
        <v>12054</v>
      </c>
      <c r="AH427" s="124">
        <f t="shared" si="229"/>
        <v>31402</v>
      </c>
      <c r="AI427" s="124">
        <f t="shared" ref="AI427" si="230">SUM(AI428:AI430)</f>
        <v>50286</v>
      </c>
      <c r="AJ427" s="124">
        <f t="shared" si="229"/>
        <v>61062</v>
      </c>
      <c r="AK427" s="124">
        <f t="shared" si="229"/>
        <v>-46997</v>
      </c>
      <c r="AL427" s="124">
        <f t="shared" si="229"/>
        <v>-86643</v>
      </c>
      <c r="AM427" s="124">
        <f t="shared" ref="AM427:AN427" si="231">SUM(AM428:AM430)</f>
        <v>-76240</v>
      </c>
      <c r="AN427" s="124">
        <f t="shared" si="231"/>
        <v>-23021</v>
      </c>
      <c r="AO427" s="124">
        <f t="shared" ref="AO427:AP427" si="232">SUM(AO428:AO430)</f>
        <v>27751</v>
      </c>
      <c r="AP427" s="124">
        <f t="shared" si="232"/>
        <v>63007</v>
      </c>
      <c r="AQ427" s="124">
        <f t="shared" ref="AQ427:AR427" si="233">SUM(AQ428:AQ430)</f>
        <v>94279</v>
      </c>
      <c r="AR427" s="124">
        <f t="shared" si="233"/>
        <v>109723</v>
      </c>
      <c r="AS427" s="124">
        <f t="shared" ref="AS427:AT427" si="234">SUM(AS428:AS430)</f>
        <v>26433</v>
      </c>
      <c r="AT427" s="124">
        <f t="shared" si="234"/>
        <v>42821</v>
      </c>
      <c r="AU427" s="124">
        <f t="shared" ref="AU427:AV427" si="235">SUM(AU428:AU430)</f>
        <v>60841</v>
      </c>
      <c r="AV427" s="124">
        <f t="shared" si="235"/>
        <v>79708</v>
      </c>
      <c r="AW427" s="124">
        <f>SUM(AW428:AW430)</f>
        <v>14113</v>
      </c>
      <c r="AX427" s="124">
        <f>SUM(AX428:AX430)</f>
        <v>20492</v>
      </c>
      <c r="AY427" s="19"/>
      <c r="AZ427" s="83"/>
      <c r="BA427" s="322"/>
      <c r="BC427" s="126"/>
      <c r="BD427" s="9"/>
      <c r="BE427" s="135"/>
      <c r="BF427" s="9"/>
      <c r="BG427" s="9"/>
      <c r="BH427" s="9"/>
      <c r="BI427" s="9"/>
      <c r="BJ427" s="9"/>
      <c r="BK427" s="9"/>
    </row>
    <row r="428" spans="3:63" outlineLevel="1" x14ac:dyDescent="0.2">
      <c r="C428" s="112" t="s">
        <v>170</v>
      </c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113">
        <v>9758</v>
      </c>
      <c r="S428" s="9"/>
      <c r="T428" s="113">
        <f>T336+T340+T344+T348+T356+T360+T368+T374+T378+T382+T386+T394+T402+T406+T410+T414+T418+T422</f>
        <v>10082</v>
      </c>
      <c r="U428" s="83"/>
      <c r="V428" s="113">
        <f t="shared" ref="V428:AE428" si="236">V336+V340+V344+V348+V356+V360+V368+V374+V378+V382+V386+V394+V402+V406+V410+V414+V418+V422+V364</f>
        <v>4647</v>
      </c>
      <c r="W428" s="113">
        <f t="shared" si="236"/>
        <v>7075</v>
      </c>
      <c r="X428" s="113">
        <f t="shared" si="236"/>
        <v>10150</v>
      </c>
      <c r="Y428" s="113">
        <f t="shared" si="236"/>
        <v>3092</v>
      </c>
      <c r="Z428" s="113">
        <f t="shared" si="236"/>
        <v>5286</v>
      </c>
      <c r="AA428" s="113">
        <f t="shared" si="236"/>
        <v>9269</v>
      </c>
      <c r="AB428" s="113">
        <f t="shared" si="236"/>
        <v>9274</v>
      </c>
      <c r="AC428" s="113">
        <f t="shared" si="236"/>
        <v>3285</v>
      </c>
      <c r="AD428" s="113">
        <f t="shared" si="236"/>
        <v>5973</v>
      </c>
      <c r="AE428" s="113">
        <f t="shared" si="236"/>
        <v>11818</v>
      </c>
      <c r="AF428" s="113">
        <f t="shared" ref="AF428:AG428" si="237">AF336+AF340+AF344+AF348+AF356+AF360+AF368+AF374+AF378+AF382+AF386+AF394+AF402+AF406+AF410+AF414+AF418+AF422+AF364</f>
        <v>15885</v>
      </c>
      <c r="AG428" s="113">
        <f t="shared" si="237"/>
        <v>7687</v>
      </c>
      <c r="AH428" s="113">
        <f t="shared" ref="AH428:AW428" si="238">AH336+AH340+AH344+AH348+AH356+AH360+AH368+AH374+AH378+AH382+AH386+AH394+AH402+AH406+AH410+AH414+AH418+AH422+AH364+AH390+AH398</f>
        <v>17347</v>
      </c>
      <c r="AI428" s="113">
        <f t="shared" si="238"/>
        <v>26697</v>
      </c>
      <c r="AJ428" s="113">
        <f t="shared" si="238"/>
        <v>37517</v>
      </c>
      <c r="AK428" s="113">
        <f t="shared" si="238"/>
        <v>-3624</v>
      </c>
      <c r="AL428" s="113">
        <f t="shared" si="238"/>
        <v>-13619</v>
      </c>
      <c r="AM428" s="113">
        <f t="shared" si="238"/>
        <v>-12356</v>
      </c>
      <c r="AN428" s="113">
        <f t="shared" si="238"/>
        <v>2511</v>
      </c>
      <c r="AO428" s="113">
        <f t="shared" si="238"/>
        <v>9493</v>
      </c>
      <c r="AP428" s="113">
        <f t="shared" si="238"/>
        <v>19167</v>
      </c>
      <c r="AQ428" s="113">
        <f t="shared" si="238"/>
        <v>30252</v>
      </c>
      <c r="AR428" s="113">
        <f t="shared" si="238"/>
        <v>24870</v>
      </c>
      <c r="AS428" s="113">
        <f t="shared" si="238"/>
        <v>10120</v>
      </c>
      <c r="AT428" s="113">
        <f t="shared" si="238"/>
        <v>18233</v>
      </c>
      <c r="AU428" s="113">
        <f t="shared" si="238"/>
        <v>23079</v>
      </c>
      <c r="AV428" s="113">
        <f t="shared" si="238"/>
        <v>27752</v>
      </c>
      <c r="AW428" s="113">
        <f t="shared" si="238"/>
        <v>8341</v>
      </c>
      <c r="AX428" s="113">
        <f>AX336+AX340+AX344+AX348+AX356+AX360+AX368+AX374+AX378+AX382+AX386+AX394+AX402+AX406+AX410+AX414+AX418+AX422+AX364+AX390+AX398</f>
        <v>-1270</v>
      </c>
      <c r="AY428" s="126"/>
      <c r="AZ428" s="118"/>
      <c r="BA428" s="83"/>
      <c r="BB428" s="118"/>
      <c r="BC428" s="135"/>
      <c r="BD428" s="9"/>
      <c r="BE428" s="135"/>
      <c r="BF428" s="9"/>
      <c r="BG428" s="9"/>
      <c r="BH428" s="9"/>
      <c r="BI428" s="9"/>
      <c r="BJ428" s="9"/>
      <c r="BK428" s="9"/>
    </row>
    <row r="429" spans="3:63" outlineLevel="1" x14ac:dyDescent="0.2">
      <c r="C429" s="112" t="s">
        <v>171</v>
      </c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113">
        <v>31892</v>
      </c>
      <c r="S429" s="9"/>
      <c r="T429" s="113">
        <f>T337+T341+T345+T349+T357+T361+T369+T375+T379+T383+T387+T395+T403+T407+T411+T415+T419+T423</f>
        <v>3760</v>
      </c>
      <c r="U429" s="83"/>
      <c r="V429" s="113">
        <v>2175</v>
      </c>
      <c r="W429" s="113">
        <v>3887</v>
      </c>
      <c r="X429" s="113">
        <f>X337+X341+X345+X349+X357+X361+X369+X375+X379+X383+X387+X395+X403+X407+X411+X415+X419+X423</f>
        <v>7815</v>
      </c>
      <c r="Y429" s="113">
        <f>Y337+Y341+Y345+Y349+Y357+Y361+Y369+Y375+Y379+Y383+Y387+Y395+Y403+Y407+Y411+Y415+Y419+Y423</f>
        <v>1767</v>
      </c>
      <c r="Z429" s="113">
        <v>4721</v>
      </c>
      <c r="AA429" s="113">
        <v>8761</v>
      </c>
      <c r="AB429" s="113">
        <f t="shared" ref="AB429:AG429" si="239">AB337+AB341+AB345+AB349+AB357+AB361+AB369+AB375+AB379+AB383+AB387+AB395+AB403+AB407+AB411+AB415+AB419+AB423</f>
        <v>12327</v>
      </c>
      <c r="AC429" s="113">
        <f t="shared" si="239"/>
        <v>2210</v>
      </c>
      <c r="AD429" s="113">
        <f t="shared" si="239"/>
        <v>6510</v>
      </c>
      <c r="AE429" s="113">
        <f t="shared" si="239"/>
        <v>9924</v>
      </c>
      <c r="AF429" s="113">
        <f t="shared" si="239"/>
        <v>14873</v>
      </c>
      <c r="AG429" s="113">
        <f t="shared" si="239"/>
        <v>3487</v>
      </c>
      <c r="AH429" s="113">
        <f t="shared" ref="AH429:AW429" si="240">AH337+AH341+AH345+AH349+AH357+AH361+AH369+AH375+AH379+AH383+AH387+AH395+AH403+AH407+AH411+AH415+AH419+AH423+AH399+AH391+AH365+AH353</f>
        <v>8022</v>
      </c>
      <c r="AI429" s="113">
        <f t="shared" si="240"/>
        <v>11890</v>
      </c>
      <c r="AJ429" s="113">
        <f t="shared" si="240"/>
        <v>16326</v>
      </c>
      <c r="AK429" s="113">
        <f t="shared" si="240"/>
        <v>2648</v>
      </c>
      <c r="AL429" s="113">
        <f t="shared" si="240"/>
        <v>6803</v>
      </c>
      <c r="AM429" s="113">
        <f t="shared" si="240"/>
        <v>23666</v>
      </c>
      <c r="AN429" s="113">
        <f t="shared" si="240"/>
        <v>42028</v>
      </c>
      <c r="AO429" s="113">
        <f t="shared" si="240"/>
        <v>8069</v>
      </c>
      <c r="AP429" s="113">
        <f t="shared" si="240"/>
        <v>19152</v>
      </c>
      <c r="AQ429" s="113">
        <f t="shared" si="240"/>
        <v>29307</v>
      </c>
      <c r="AR429" s="113">
        <f t="shared" si="240"/>
        <v>51459</v>
      </c>
      <c r="AS429" s="113">
        <f t="shared" si="240"/>
        <v>13294</v>
      </c>
      <c r="AT429" s="113">
        <f t="shared" si="240"/>
        <v>34385</v>
      </c>
      <c r="AU429" s="113">
        <f t="shared" si="240"/>
        <v>58689</v>
      </c>
      <c r="AV429" s="113">
        <f t="shared" si="240"/>
        <v>86328</v>
      </c>
      <c r="AW429" s="113">
        <f t="shared" si="240"/>
        <v>24708</v>
      </c>
      <c r="AX429" s="113">
        <f>AX337+AX341+AX345+AX349+AX357+AX361+AX369+AX375+AX379+AX383+AX387+AX395+AX403+AX407+AX411+AX415+AX419+AX423+AX399+AX391+AX365+AX353</f>
        <v>45962</v>
      </c>
      <c r="AY429" s="126"/>
      <c r="AZ429" s="118"/>
      <c r="BA429" s="83"/>
      <c r="BB429" s="118"/>
      <c r="BC429" s="135"/>
      <c r="BD429" s="9"/>
      <c r="BE429" s="152"/>
      <c r="BF429" s="9"/>
      <c r="BG429" s="9"/>
      <c r="BH429" s="9"/>
      <c r="BI429" s="9"/>
      <c r="BJ429" s="9"/>
      <c r="BK429" s="9"/>
    </row>
    <row r="430" spans="3:63" outlineLevel="1" x14ac:dyDescent="0.2">
      <c r="C430" s="112" t="s">
        <v>172</v>
      </c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113">
        <v>0</v>
      </c>
      <c r="S430" s="9"/>
      <c r="T430" s="113">
        <f>T338+T342+T346+T350+T358+T362+T370+T376+T380+T384+T388+T396+T404+T408+T412+T416+T420+T424+T354+T366</f>
        <v>22817</v>
      </c>
      <c r="U430" s="83"/>
      <c r="V430" s="113">
        <v>5450</v>
      </c>
      <c r="W430" s="113">
        <v>7379</v>
      </c>
      <c r="X430" s="113">
        <f>X338+X342+X346+X350+X358+X362+X370+X376+X380+X384+X388+X396+X404+X408+X412+X416+X420+X424+X354+X366</f>
        <v>2860</v>
      </c>
      <c r="Y430" s="113">
        <f>Y338+Y342+Y346+Y350+Y358+Y362+Y370+Y376+Y380+Y384+Y388+Y396+Y404+Y408+Y412+Y416+Y420+Y424</f>
        <v>1845</v>
      </c>
      <c r="Z430" s="113">
        <v>6219</v>
      </c>
      <c r="AA430" s="113">
        <v>9371</v>
      </c>
      <c r="AB430" s="113">
        <f t="shared" ref="AB430:AG430" si="241">AB338+AB342+AB346+AB350+AB358+AB362+AB370+AB376+AB380+AB384+AB388+AB396+AB404+AB408+AB412+AB416+AB420+AB424+AB354+AB366</f>
        <v>16725</v>
      </c>
      <c r="AC430" s="113">
        <f t="shared" si="241"/>
        <v>-20197</v>
      </c>
      <c r="AD430" s="113">
        <f t="shared" si="241"/>
        <v>-170</v>
      </c>
      <c r="AE430" s="113">
        <f t="shared" si="241"/>
        <v>5542</v>
      </c>
      <c r="AF430" s="113">
        <f t="shared" si="241"/>
        <v>17789</v>
      </c>
      <c r="AG430" s="113">
        <f t="shared" si="241"/>
        <v>880</v>
      </c>
      <c r="AH430" s="113">
        <f t="shared" ref="AH430:AW430" si="242">AH338+AH342+AH346+AH350+AH358+AH362+AH370+AH376+AH380+AH384+AH388+AH396+AH404+AH408+AH412+AH416+AH420+AH424+AH354+AH366+AH400+AH392</f>
        <v>6033</v>
      </c>
      <c r="AI430" s="113">
        <f t="shared" si="242"/>
        <v>11699</v>
      </c>
      <c r="AJ430" s="113">
        <f t="shared" si="242"/>
        <v>7219</v>
      </c>
      <c r="AK430" s="113">
        <f t="shared" si="242"/>
        <v>-46021</v>
      </c>
      <c r="AL430" s="113">
        <f t="shared" si="242"/>
        <v>-79827</v>
      </c>
      <c r="AM430" s="113">
        <f t="shared" si="242"/>
        <v>-87550</v>
      </c>
      <c r="AN430" s="113">
        <f t="shared" si="242"/>
        <v>-67560</v>
      </c>
      <c r="AO430" s="113">
        <f t="shared" si="242"/>
        <v>10189</v>
      </c>
      <c r="AP430" s="113">
        <f t="shared" si="242"/>
        <v>24688</v>
      </c>
      <c r="AQ430" s="113">
        <f t="shared" si="242"/>
        <v>34720</v>
      </c>
      <c r="AR430" s="113">
        <f t="shared" si="242"/>
        <v>33394</v>
      </c>
      <c r="AS430" s="113">
        <f t="shared" si="242"/>
        <v>3019</v>
      </c>
      <c r="AT430" s="113">
        <f t="shared" si="242"/>
        <v>-9797</v>
      </c>
      <c r="AU430" s="113">
        <f t="shared" si="242"/>
        <v>-20927</v>
      </c>
      <c r="AV430" s="113">
        <f t="shared" si="242"/>
        <v>-34372</v>
      </c>
      <c r="AW430" s="113">
        <f t="shared" si="242"/>
        <v>-18936</v>
      </c>
      <c r="AX430" s="113">
        <f>AX338+AX342+AX346+AX350+AX358+AX362+AX370+AX376+AX380+AX384+AX388+AX396+AX404+AX408+AX412+AX416+AX420+AX424+AX354+AX366+AX400+AX392</f>
        <v>-24200</v>
      </c>
      <c r="AY430" s="126"/>
      <c r="AZ430" s="118"/>
      <c r="BA430" s="83"/>
      <c r="BB430" s="118"/>
      <c r="BC430" s="135"/>
      <c r="BD430" s="83"/>
      <c r="BE430" s="135"/>
      <c r="BF430" s="9"/>
      <c r="BG430" s="9"/>
      <c r="BH430" s="9"/>
      <c r="BI430" s="9"/>
      <c r="BJ430" s="9"/>
      <c r="BK430" s="9"/>
    </row>
    <row r="431" spans="3:63" outlineLevel="1" x14ac:dyDescent="0.2">
      <c r="C431" s="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35"/>
      <c r="P431" s="26"/>
      <c r="Q431" s="35"/>
      <c r="R431" s="26"/>
      <c r="T431" s="35"/>
      <c r="U431" s="26"/>
      <c r="V431" s="286"/>
      <c r="W431" s="286"/>
      <c r="X431" s="286"/>
      <c r="Y431" s="286"/>
      <c r="Z431" s="286"/>
      <c r="AA431" s="286"/>
      <c r="AB431" s="286">
        <f t="shared" ref="AB431:AX431" si="243">AB427-AB141</f>
        <v>0</v>
      </c>
      <c r="AC431" s="286">
        <f t="shared" si="243"/>
        <v>0</v>
      </c>
      <c r="AD431" s="286">
        <f t="shared" si="243"/>
        <v>0</v>
      </c>
      <c r="AE431" s="286">
        <f t="shared" si="243"/>
        <v>0</v>
      </c>
      <c r="AF431" s="286">
        <f t="shared" si="243"/>
        <v>0</v>
      </c>
      <c r="AG431" s="286">
        <f t="shared" si="243"/>
        <v>0</v>
      </c>
      <c r="AH431" s="286">
        <f t="shared" si="243"/>
        <v>0</v>
      </c>
      <c r="AI431" s="286">
        <f t="shared" si="243"/>
        <v>0</v>
      </c>
      <c r="AJ431" s="286">
        <f t="shared" si="243"/>
        <v>0</v>
      </c>
      <c r="AK431" s="286">
        <f t="shared" si="243"/>
        <v>0</v>
      </c>
      <c r="AL431" s="286">
        <f t="shared" si="243"/>
        <v>0</v>
      </c>
      <c r="AM431" s="286">
        <f t="shared" si="243"/>
        <v>0</v>
      </c>
      <c r="AN431" s="286">
        <f t="shared" si="243"/>
        <v>2</v>
      </c>
      <c r="AO431" s="286">
        <f t="shared" si="243"/>
        <v>0</v>
      </c>
      <c r="AP431" s="286">
        <f t="shared" si="243"/>
        <v>0</v>
      </c>
      <c r="AQ431" s="286">
        <f t="shared" si="243"/>
        <v>0</v>
      </c>
      <c r="AR431" s="286">
        <f t="shared" si="243"/>
        <v>0</v>
      </c>
      <c r="AS431" s="286">
        <f t="shared" si="243"/>
        <v>0</v>
      </c>
      <c r="AT431" s="286">
        <f t="shared" si="243"/>
        <v>0</v>
      </c>
      <c r="AU431" s="286">
        <f t="shared" si="243"/>
        <v>0</v>
      </c>
      <c r="AV431" s="286">
        <f t="shared" si="243"/>
        <v>0</v>
      </c>
      <c r="AW431" s="286">
        <f t="shared" si="243"/>
        <v>0</v>
      </c>
      <c r="AX431" s="286">
        <f t="shared" si="243"/>
        <v>0</v>
      </c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</row>
    <row r="432" spans="3:63" outlineLevel="1" x14ac:dyDescent="0.2">
      <c r="C432" s="6" t="s">
        <v>300</v>
      </c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35"/>
      <c r="P432" s="26"/>
      <c r="Q432" s="35"/>
      <c r="R432" s="26"/>
      <c r="T432" s="35"/>
      <c r="U432" s="26"/>
      <c r="V432" s="83"/>
      <c r="W432" s="35"/>
      <c r="X432" s="35"/>
      <c r="Y432" s="83"/>
      <c r="Z432" s="83"/>
      <c r="AA432" s="83"/>
      <c r="AB432" s="83"/>
      <c r="AC432" s="83"/>
      <c r="AD432" s="83"/>
      <c r="AE432" s="83"/>
      <c r="AF432" s="83"/>
      <c r="AG432" s="83"/>
      <c r="AH432" s="83"/>
      <c r="AI432" s="83"/>
      <c r="AJ432" s="83"/>
      <c r="AK432" s="83"/>
      <c r="AL432" s="83"/>
      <c r="AM432" s="83"/>
      <c r="AN432" s="83"/>
      <c r="AO432" s="83"/>
      <c r="AP432" s="83"/>
      <c r="AQ432" s="83"/>
      <c r="AR432" s="83"/>
      <c r="AS432" s="83"/>
      <c r="AT432" s="83"/>
      <c r="AU432" s="83"/>
      <c r="AV432" s="83"/>
      <c r="AW432" s="83"/>
      <c r="AX432" s="83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</row>
    <row r="433" spans="3:63" outlineLevel="1" x14ac:dyDescent="0.2">
      <c r="C433" s="146" t="s">
        <v>170</v>
      </c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35"/>
      <c r="P433" s="26"/>
      <c r="Q433" s="35"/>
      <c r="R433" s="26"/>
      <c r="T433" s="83">
        <v>156503</v>
      </c>
      <c r="U433" s="26"/>
      <c r="V433" s="83"/>
      <c r="W433" s="35"/>
      <c r="X433" s="83">
        <v>215343</v>
      </c>
      <c r="Y433" s="83"/>
      <c r="Z433" s="83">
        <v>248607</v>
      </c>
      <c r="AA433" s="83"/>
      <c r="AB433" s="83">
        <v>289783</v>
      </c>
      <c r="AC433" s="83">
        <v>307253</v>
      </c>
      <c r="AD433" s="83">
        <v>302663</v>
      </c>
      <c r="AE433" s="83">
        <v>322880</v>
      </c>
      <c r="AF433" s="83">
        <v>337033</v>
      </c>
      <c r="AG433" s="83">
        <v>385586</v>
      </c>
      <c r="AH433" s="83">
        <v>534492</v>
      </c>
      <c r="AI433" s="83">
        <v>591506</v>
      </c>
      <c r="AJ433" s="83">
        <v>679383</v>
      </c>
      <c r="AK433" s="83">
        <v>670249</v>
      </c>
      <c r="AL433" s="83">
        <v>646072</v>
      </c>
      <c r="AM433" s="83">
        <v>695551</v>
      </c>
      <c r="AN433" s="83">
        <v>682802</v>
      </c>
      <c r="AO433" s="83">
        <v>737397</v>
      </c>
      <c r="AP433" s="83">
        <v>821962</v>
      </c>
      <c r="AQ433" s="83">
        <v>908732</v>
      </c>
      <c r="AR433" s="83">
        <v>993250</v>
      </c>
      <c r="AS433" s="83">
        <v>1260871</v>
      </c>
      <c r="AT433" s="83">
        <v>1349721</v>
      </c>
      <c r="AU433" s="83">
        <v>1435065</v>
      </c>
      <c r="AV433" s="83">
        <v>1677919</v>
      </c>
      <c r="AW433" s="83">
        <v>1746188</v>
      </c>
      <c r="AX433" s="83">
        <v>1718424</v>
      </c>
      <c r="AY433" s="126"/>
      <c r="AZ433" s="118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</row>
    <row r="434" spans="3:63" outlineLevel="1" x14ac:dyDescent="0.2">
      <c r="C434" s="146" t="s">
        <v>171</v>
      </c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35"/>
      <c r="P434" s="26"/>
      <c r="Q434" s="35"/>
      <c r="R434" s="26"/>
      <c r="T434" s="83">
        <v>109793</v>
      </c>
      <c r="U434" s="26"/>
      <c r="V434" s="83"/>
      <c r="W434" s="35"/>
      <c r="X434" s="83">
        <v>242437</v>
      </c>
      <c r="Y434" s="83"/>
      <c r="Z434" s="83">
        <v>214442</v>
      </c>
      <c r="AA434" s="83"/>
      <c r="AB434" s="83">
        <v>278222</v>
      </c>
      <c r="AC434" s="83">
        <v>340281</v>
      </c>
      <c r="AD434" s="83">
        <v>409829</v>
      </c>
      <c r="AE434" s="83">
        <v>365516</v>
      </c>
      <c r="AF434" s="83">
        <v>417706</v>
      </c>
      <c r="AG434" s="83">
        <v>548498</v>
      </c>
      <c r="AH434" s="83">
        <v>646287</v>
      </c>
      <c r="AI434" s="83">
        <v>658866</v>
      </c>
      <c r="AJ434" s="83">
        <v>730120</v>
      </c>
      <c r="AK434" s="83">
        <v>705820</v>
      </c>
      <c r="AL434" s="83">
        <v>663967</v>
      </c>
      <c r="AM434" s="83">
        <v>790385</v>
      </c>
      <c r="AN434" s="83">
        <v>876302</v>
      </c>
      <c r="AO434" s="83">
        <v>962182</v>
      </c>
      <c r="AP434" s="83">
        <v>1006256</v>
      </c>
      <c r="AQ434" s="83">
        <v>1081540</v>
      </c>
      <c r="AR434" s="83">
        <v>1234945</v>
      </c>
      <c r="AS434" s="83">
        <v>1291105</v>
      </c>
      <c r="AT434" s="83">
        <v>1410165</v>
      </c>
      <c r="AU434" s="83">
        <v>1392600</v>
      </c>
      <c r="AV434" s="83">
        <v>1415462</v>
      </c>
      <c r="AW434" s="83">
        <v>1346182</v>
      </c>
      <c r="AX434" s="83">
        <v>1511545</v>
      </c>
      <c r="AY434" s="126"/>
      <c r="AZ434" s="118"/>
      <c r="BA434" s="118"/>
      <c r="BB434" s="9"/>
      <c r="BC434" s="9"/>
      <c r="BD434" s="9"/>
      <c r="BE434" s="9"/>
      <c r="BF434" s="9"/>
      <c r="BG434" s="9"/>
      <c r="BH434" s="9"/>
      <c r="BI434" s="9"/>
      <c r="BJ434" s="9"/>
      <c r="BK434" s="9"/>
    </row>
    <row r="435" spans="3:63" outlineLevel="1" x14ac:dyDescent="0.2">
      <c r="C435" s="146" t="s">
        <v>172</v>
      </c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35"/>
      <c r="P435" s="26"/>
      <c r="Q435" s="35"/>
      <c r="R435" s="26"/>
      <c r="T435" s="83">
        <v>423203</v>
      </c>
      <c r="U435" s="26"/>
      <c r="V435" s="83"/>
      <c r="W435" s="35"/>
      <c r="X435" s="83">
        <v>509624</v>
      </c>
      <c r="Y435" s="83"/>
      <c r="Z435" s="83">
        <v>512650</v>
      </c>
      <c r="AA435" s="83"/>
      <c r="AB435" s="83">
        <v>567189</v>
      </c>
      <c r="AC435" s="83">
        <v>680409</v>
      </c>
      <c r="AD435" s="83">
        <v>794751</v>
      </c>
      <c r="AE435" s="83">
        <v>877711</v>
      </c>
      <c r="AF435" s="83">
        <v>728621</v>
      </c>
      <c r="AG435" s="83">
        <v>675782</v>
      </c>
      <c r="AH435" s="83">
        <v>673393</v>
      </c>
      <c r="AI435" s="83">
        <v>663005</v>
      </c>
      <c r="AJ435" s="83">
        <v>702053</v>
      </c>
      <c r="AK435" s="83">
        <v>542311</v>
      </c>
      <c r="AL435" s="83">
        <v>542897</v>
      </c>
      <c r="AM435" s="83">
        <v>485935</v>
      </c>
      <c r="AN435" s="83">
        <v>626361</v>
      </c>
      <c r="AO435" s="83">
        <v>572094</v>
      </c>
      <c r="AP435" s="83">
        <v>544293</v>
      </c>
      <c r="AQ435" s="83">
        <v>800272</v>
      </c>
      <c r="AR435" s="83">
        <v>960790</v>
      </c>
      <c r="AS435" s="83">
        <v>1063018</v>
      </c>
      <c r="AT435" s="83">
        <v>1035016</v>
      </c>
      <c r="AU435" s="83">
        <v>987525</v>
      </c>
      <c r="AV435" s="83">
        <v>952886</v>
      </c>
      <c r="AW435" s="83">
        <v>783146</v>
      </c>
      <c r="AX435" s="83">
        <v>688313</v>
      </c>
      <c r="AY435" s="126"/>
      <c r="AZ435" s="118"/>
      <c r="BA435" s="118"/>
      <c r="BB435" s="9"/>
      <c r="BC435" s="9"/>
      <c r="BD435" s="9"/>
      <c r="BE435" s="9"/>
      <c r="BF435" s="9"/>
      <c r="BG435" s="9"/>
      <c r="BH435" s="9"/>
      <c r="BI435" s="9"/>
      <c r="BJ435" s="9"/>
      <c r="BK435" s="9"/>
    </row>
    <row r="436" spans="3:63" outlineLevel="1" x14ac:dyDescent="0.2">
      <c r="C436" s="14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35"/>
      <c r="P436" s="26"/>
      <c r="Q436" s="35"/>
      <c r="R436" s="26"/>
      <c r="T436" s="83"/>
      <c r="U436" s="26"/>
      <c r="V436" s="83"/>
      <c r="W436" s="35"/>
      <c r="X436" s="286">
        <f>SUM(X433:X435)-X35</f>
        <v>0</v>
      </c>
      <c r="Y436" s="286"/>
      <c r="Z436" s="286"/>
      <c r="AA436" s="286"/>
      <c r="AB436" s="286">
        <f t="shared" ref="AB436:AX436" si="244">SUM(AB433:AB435)-AB35</f>
        <v>0</v>
      </c>
      <c r="AC436" s="286">
        <f t="shared" si="244"/>
        <v>0</v>
      </c>
      <c r="AD436" s="286">
        <f t="shared" si="244"/>
        <v>0</v>
      </c>
      <c r="AE436" s="286">
        <f t="shared" si="244"/>
        <v>0</v>
      </c>
      <c r="AF436" s="286">
        <f t="shared" si="244"/>
        <v>0</v>
      </c>
      <c r="AG436" s="286">
        <f t="shared" si="244"/>
        <v>0</v>
      </c>
      <c r="AH436" s="286">
        <f t="shared" si="244"/>
        <v>0</v>
      </c>
      <c r="AI436" s="286">
        <f t="shared" si="244"/>
        <v>0</v>
      </c>
      <c r="AJ436" s="286">
        <f t="shared" si="244"/>
        <v>0</v>
      </c>
      <c r="AK436" s="286">
        <f t="shared" si="244"/>
        <v>0</v>
      </c>
      <c r="AL436" s="286">
        <f t="shared" si="244"/>
        <v>0</v>
      </c>
      <c r="AM436" s="286">
        <f t="shared" si="244"/>
        <v>0</v>
      </c>
      <c r="AN436" s="286">
        <f t="shared" si="244"/>
        <v>0</v>
      </c>
      <c r="AO436" s="286">
        <f t="shared" si="244"/>
        <v>0</v>
      </c>
      <c r="AP436" s="286">
        <f t="shared" si="244"/>
        <v>0</v>
      </c>
      <c r="AQ436" s="286">
        <f t="shared" si="244"/>
        <v>0</v>
      </c>
      <c r="AR436" s="286">
        <f t="shared" si="244"/>
        <v>0</v>
      </c>
      <c r="AS436" s="286">
        <f t="shared" si="244"/>
        <v>0</v>
      </c>
      <c r="AT436" s="286">
        <f t="shared" si="244"/>
        <v>0</v>
      </c>
      <c r="AU436" s="286">
        <f t="shared" si="244"/>
        <v>0</v>
      </c>
      <c r="AV436" s="286">
        <f t="shared" si="244"/>
        <v>0</v>
      </c>
      <c r="AW436" s="286">
        <f t="shared" si="244"/>
        <v>0</v>
      </c>
      <c r="AX436" s="286">
        <f t="shared" si="244"/>
        <v>0</v>
      </c>
      <c r="AY436" s="152"/>
      <c r="AZ436" s="83"/>
      <c r="BA436" s="118"/>
      <c r="BB436" s="9"/>
      <c r="BC436" s="9"/>
      <c r="BD436" s="9"/>
      <c r="BE436" s="9"/>
      <c r="BF436" s="9"/>
      <c r="BG436" s="9"/>
      <c r="BH436" s="9"/>
      <c r="BI436" s="9"/>
      <c r="BJ436" s="9"/>
      <c r="BK436" s="9"/>
    </row>
    <row r="437" spans="3:63" outlineLevel="1" x14ac:dyDescent="0.2">
      <c r="C437" s="6" t="s">
        <v>301</v>
      </c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35"/>
      <c r="P437" s="26"/>
      <c r="Q437" s="35"/>
      <c r="R437" s="26"/>
      <c r="T437" s="35"/>
      <c r="U437" s="26"/>
      <c r="V437" s="83"/>
      <c r="W437" s="35"/>
      <c r="X437" s="286"/>
      <c r="Y437" s="286"/>
      <c r="Z437" s="286"/>
      <c r="AA437" s="286"/>
      <c r="AB437" s="286"/>
      <c r="AC437" s="286"/>
      <c r="AD437" s="286"/>
      <c r="AE437" s="286"/>
      <c r="AF437" s="286"/>
      <c r="AG437" s="286"/>
      <c r="AH437" s="286"/>
      <c r="AI437" s="286"/>
      <c r="AJ437" s="286"/>
      <c r="AK437" s="286"/>
      <c r="AL437" s="286"/>
      <c r="AM437" s="286"/>
      <c r="AN437" s="286"/>
      <c r="AO437" s="286"/>
      <c r="AP437" s="286"/>
      <c r="AQ437" s="286"/>
      <c r="AR437" s="286"/>
      <c r="AS437" s="286"/>
      <c r="AT437" s="286"/>
      <c r="AU437" s="286"/>
      <c r="AV437" s="286"/>
      <c r="AW437" s="286"/>
      <c r="AX437" s="286"/>
      <c r="AZ437" s="83"/>
      <c r="BA437" s="118"/>
      <c r="BB437" s="9"/>
      <c r="BC437" s="9"/>
      <c r="BD437" s="9"/>
      <c r="BE437" s="9"/>
      <c r="BF437" s="9"/>
      <c r="BG437" s="9"/>
      <c r="BH437" s="9"/>
      <c r="BI437" s="9"/>
      <c r="BJ437" s="9"/>
      <c r="BK437" s="9"/>
    </row>
    <row r="438" spans="3:63" outlineLevel="1" x14ac:dyDescent="0.2">
      <c r="C438" s="146" t="s">
        <v>170</v>
      </c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35"/>
      <c r="P438" s="26"/>
      <c r="Q438" s="35"/>
      <c r="R438" s="26"/>
      <c r="T438" s="83">
        <v>288271</v>
      </c>
      <c r="U438" s="26"/>
      <c r="V438" s="83"/>
      <c r="W438" s="35"/>
      <c r="X438" s="83">
        <v>349768</v>
      </c>
      <c r="Y438" s="83"/>
      <c r="Z438" s="83"/>
      <c r="AA438" s="83"/>
      <c r="AB438" s="83">
        <v>402905</v>
      </c>
      <c r="AC438" s="83">
        <v>405114</v>
      </c>
      <c r="AD438" s="83">
        <v>416353</v>
      </c>
      <c r="AE438" s="83">
        <v>410882</v>
      </c>
      <c r="AF438" s="83">
        <v>415317</v>
      </c>
      <c r="AG438" s="83">
        <v>448784</v>
      </c>
      <c r="AH438" s="83">
        <v>564071</v>
      </c>
      <c r="AI438" s="83">
        <v>542086</v>
      </c>
      <c r="AJ438" s="83">
        <v>522336</v>
      </c>
      <c r="AK438" s="83">
        <v>634803</v>
      </c>
      <c r="AL438" s="83">
        <v>625670</v>
      </c>
      <c r="AM438" s="83">
        <v>645128</v>
      </c>
      <c r="AN438" s="83">
        <v>661718</v>
      </c>
      <c r="AO438" s="83">
        <v>692322</v>
      </c>
      <c r="AP438" s="83">
        <v>705946</v>
      </c>
      <c r="AQ438" s="83">
        <v>736632</v>
      </c>
      <c r="AR438" s="83">
        <v>739310</v>
      </c>
      <c r="AS438" s="83">
        <v>942754</v>
      </c>
      <c r="AT438" s="83">
        <v>936808</v>
      </c>
      <c r="AU438" s="83">
        <v>969794</v>
      </c>
      <c r="AV438" s="83">
        <v>1195959</v>
      </c>
      <c r="AW438" s="83">
        <v>1268686</v>
      </c>
      <c r="AX438" s="83">
        <v>1302463</v>
      </c>
      <c r="AY438" s="297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</row>
    <row r="439" spans="3:63" outlineLevel="1" x14ac:dyDescent="0.2">
      <c r="C439" s="146" t="s">
        <v>171</v>
      </c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35"/>
      <c r="P439" s="26"/>
      <c r="Q439" s="35"/>
      <c r="R439" s="26"/>
      <c r="T439" s="83">
        <v>73325</v>
      </c>
      <c r="U439" s="26"/>
      <c r="V439" s="83"/>
      <c r="W439" s="35"/>
      <c r="X439" s="83">
        <v>260758</v>
      </c>
      <c r="Y439" s="83"/>
      <c r="Z439" s="83"/>
      <c r="AA439" s="83"/>
      <c r="AB439" s="83">
        <v>378609</v>
      </c>
      <c r="AC439" s="83">
        <v>429986</v>
      </c>
      <c r="AD439" s="83">
        <v>472313</v>
      </c>
      <c r="AE439" s="83">
        <v>486424</v>
      </c>
      <c r="AF439" s="83">
        <v>593600</v>
      </c>
      <c r="AG439" s="83">
        <v>711105</v>
      </c>
      <c r="AH439" s="83">
        <v>748132</v>
      </c>
      <c r="AI439" s="83">
        <v>799973</v>
      </c>
      <c r="AJ439" s="83">
        <v>1005090</v>
      </c>
      <c r="AK439" s="83">
        <v>907495</v>
      </c>
      <c r="AL439" s="83">
        <v>854591</v>
      </c>
      <c r="AM439" s="83">
        <v>917709</v>
      </c>
      <c r="AN439" s="83">
        <v>1180708</v>
      </c>
      <c r="AO439" s="83">
        <v>1255667</v>
      </c>
      <c r="AP439" s="83">
        <v>1298073</v>
      </c>
      <c r="AQ439" s="83">
        <v>1684259</v>
      </c>
      <c r="AR439" s="83">
        <v>1985058</v>
      </c>
      <c r="AS439" s="83">
        <v>1979554</v>
      </c>
      <c r="AT439" s="83">
        <v>2171865</v>
      </c>
      <c r="AU439" s="83">
        <v>2039863</v>
      </c>
      <c r="AV439" s="83">
        <v>2086962</v>
      </c>
      <c r="AW439" s="83">
        <v>1801322</v>
      </c>
      <c r="AX439" s="83">
        <v>1900033</v>
      </c>
      <c r="AY439" s="297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</row>
    <row r="440" spans="3:63" outlineLevel="1" x14ac:dyDescent="0.2">
      <c r="C440" s="146" t="s">
        <v>172</v>
      </c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35"/>
      <c r="P440" s="26"/>
      <c r="Q440" s="35"/>
      <c r="R440" s="26"/>
      <c r="T440" s="83">
        <v>242485</v>
      </c>
      <c r="U440" s="26"/>
      <c r="V440" s="83"/>
      <c r="W440" s="35"/>
      <c r="X440" s="83">
        <v>242842</v>
      </c>
      <c r="Y440" s="83"/>
      <c r="Z440" s="83"/>
      <c r="AA440" s="83"/>
      <c r="AB440" s="83">
        <v>214596</v>
      </c>
      <c r="AC440" s="83">
        <v>356580</v>
      </c>
      <c r="AD440" s="83">
        <v>459480</v>
      </c>
      <c r="AE440" s="83">
        <v>498652</v>
      </c>
      <c r="AF440" s="83">
        <v>286154</v>
      </c>
      <c r="AG440" s="83">
        <v>262495</v>
      </c>
      <c r="AH440" s="83">
        <v>335063</v>
      </c>
      <c r="AI440" s="83">
        <v>347642</v>
      </c>
      <c r="AJ440" s="83">
        <v>341178</v>
      </c>
      <c r="AK440" s="83">
        <v>194771</v>
      </c>
      <c r="AL440" s="83">
        <v>212391</v>
      </c>
      <c r="AM440" s="83">
        <v>251859</v>
      </c>
      <c r="AN440" s="83">
        <v>150924</v>
      </c>
      <c r="AO440" s="83">
        <v>109248</v>
      </c>
      <c r="AP440" s="83">
        <v>121282</v>
      </c>
      <c r="AQ440" s="83">
        <v>100422</v>
      </c>
      <c r="AR440" s="83">
        <v>166260</v>
      </c>
      <c r="AS440" s="83">
        <v>339942</v>
      </c>
      <c r="AT440" s="83">
        <v>333337</v>
      </c>
      <c r="AU440" s="83">
        <v>437207</v>
      </c>
      <c r="AV440" s="83">
        <v>373355</v>
      </c>
      <c r="AW440" s="83">
        <v>424253</v>
      </c>
      <c r="AX440" s="83">
        <v>335115</v>
      </c>
      <c r="AY440" s="126"/>
      <c r="AZ440" s="9"/>
      <c r="BA440" s="9"/>
      <c r="BC440" s="9"/>
      <c r="BD440" s="9"/>
      <c r="BE440" s="9"/>
      <c r="BF440" s="9"/>
      <c r="BG440" s="9"/>
      <c r="BH440" s="9"/>
      <c r="BI440" s="9"/>
      <c r="BJ440" s="9"/>
      <c r="BK440" s="9"/>
    </row>
    <row r="441" spans="3:63" outlineLevel="1" x14ac:dyDescent="0.2">
      <c r="C441" s="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35"/>
      <c r="P441" s="26"/>
      <c r="Q441" s="35"/>
      <c r="R441" s="26"/>
      <c r="T441" s="35"/>
      <c r="U441" s="26"/>
      <c r="V441" s="83"/>
      <c r="W441" s="35"/>
      <c r="X441" s="286">
        <f>SUM(X438:X440)-X46</f>
        <v>0</v>
      </c>
      <c r="Y441" s="286"/>
      <c r="Z441" s="286"/>
      <c r="AA441" s="286"/>
      <c r="AB441" s="286">
        <f t="shared" ref="AB441:AX441" si="245">SUM(AB438:AB440)-AB46</f>
        <v>0</v>
      </c>
      <c r="AC441" s="286">
        <f t="shared" si="245"/>
        <v>0</v>
      </c>
      <c r="AD441" s="286">
        <f t="shared" si="245"/>
        <v>0</v>
      </c>
      <c r="AE441" s="286">
        <f t="shared" si="245"/>
        <v>0</v>
      </c>
      <c r="AF441" s="286">
        <f t="shared" si="245"/>
        <v>0</v>
      </c>
      <c r="AG441" s="286">
        <f t="shared" si="245"/>
        <v>0</v>
      </c>
      <c r="AH441" s="286">
        <f t="shared" si="245"/>
        <v>0</v>
      </c>
      <c r="AI441" s="286">
        <f t="shared" si="245"/>
        <v>0</v>
      </c>
      <c r="AJ441" s="286">
        <f t="shared" si="245"/>
        <v>0</v>
      </c>
      <c r="AK441" s="286">
        <f t="shared" si="245"/>
        <v>0</v>
      </c>
      <c r="AL441" s="286">
        <f t="shared" si="245"/>
        <v>0</v>
      </c>
      <c r="AM441" s="286">
        <f t="shared" si="245"/>
        <v>0</v>
      </c>
      <c r="AN441" s="286">
        <f t="shared" si="245"/>
        <v>0</v>
      </c>
      <c r="AO441" s="286">
        <f t="shared" si="245"/>
        <v>0</v>
      </c>
      <c r="AP441" s="286">
        <f t="shared" si="245"/>
        <v>0</v>
      </c>
      <c r="AQ441" s="286">
        <f t="shared" si="245"/>
        <v>0</v>
      </c>
      <c r="AR441" s="286">
        <f t="shared" si="245"/>
        <v>0</v>
      </c>
      <c r="AS441" s="286">
        <f t="shared" si="245"/>
        <v>0</v>
      </c>
      <c r="AT441" s="286">
        <f t="shared" si="245"/>
        <v>0</v>
      </c>
      <c r="AU441" s="286">
        <f t="shared" si="245"/>
        <v>0</v>
      </c>
      <c r="AV441" s="286">
        <f t="shared" si="245"/>
        <v>0</v>
      </c>
      <c r="AW441" s="286">
        <f t="shared" si="245"/>
        <v>0</v>
      </c>
      <c r="AX441" s="286">
        <f t="shared" si="245"/>
        <v>0</v>
      </c>
      <c r="AZ441" s="83"/>
      <c r="BA441" s="9"/>
      <c r="BB441" s="12"/>
      <c r="BC441" s="83"/>
      <c r="BD441" s="9"/>
      <c r="BE441" s="9"/>
      <c r="BF441" s="9"/>
      <c r="BG441" s="9"/>
      <c r="BH441" s="9"/>
      <c r="BI441" s="9"/>
      <c r="BJ441" s="9"/>
      <c r="BK441" s="9"/>
    </row>
    <row r="442" spans="3:63" outlineLevel="1" x14ac:dyDescent="0.2">
      <c r="C442" s="44" t="s">
        <v>12</v>
      </c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9"/>
      <c r="T442" s="83"/>
      <c r="U442" s="35"/>
      <c r="V442" s="83"/>
      <c r="W442" s="35"/>
      <c r="X442" s="83"/>
      <c r="Y442" s="83"/>
      <c r="Z442" s="83"/>
      <c r="AA442" s="83"/>
      <c r="AB442" s="83"/>
      <c r="AC442" s="83"/>
      <c r="AD442" s="83"/>
      <c r="AE442" s="83"/>
      <c r="AF442" s="83"/>
      <c r="AG442" s="83"/>
      <c r="AH442" s="83"/>
      <c r="AI442" s="83"/>
      <c r="AJ442" s="83"/>
      <c r="AK442" s="83"/>
      <c r="AL442" s="83"/>
      <c r="AM442" s="83"/>
      <c r="AN442" s="83"/>
      <c r="AO442" s="83"/>
      <c r="AP442" s="83"/>
      <c r="AQ442" s="83"/>
      <c r="AR442" s="83"/>
      <c r="AS442" s="83"/>
      <c r="AT442" s="83"/>
      <c r="AU442" s="83"/>
      <c r="AV442" s="83"/>
      <c r="AW442" s="83"/>
      <c r="AX442" s="83"/>
      <c r="AZ442" s="12"/>
      <c r="BA442" s="244"/>
      <c r="BB442" s="12"/>
      <c r="BC442" s="136"/>
      <c r="BD442" s="118"/>
      <c r="BE442" s="118"/>
      <c r="BF442" s="9"/>
      <c r="BG442" s="9"/>
      <c r="BH442" s="9"/>
      <c r="BI442" s="9"/>
      <c r="BJ442" s="9"/>
      <c r="BK442" s="9"/>
    </row>
    <row r="443" spans="3:63" outlineLevel="1" x14ac:dyDescent="0.2">
      <c r="C443" s="44" t="s">
        <v>170</v>
      </c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9"/>
      <c r="T443" s="83">
        <f>T336+T374</f>
        <v>4998</v>
      </c>
      <c r="U443" s="35"/>
      <c r="V443" s="84">
        <f t="shared" ref="V443:AP443" si="246">V336+V374</f>
        <v>4686</v>
      </c>
      <c r="W443" s="84">
        <f t="shared" si="246"/>
        <v>8211</v>
      </c>
      <c r="X443" s="83">
        <f t="shared" si="246"/>
        <v>12219</v>
      </c>
      <c r="Y443" s="83">
        <f t="shared" si="246"/>
        <v>3927</v>
      </c>
      <c r="Z443" s="84">
        <f t="shared" si="246"/>
        <v>8296</v>
      </c>
      <c r="AA443" s="83">
        <f t="shared" si="246"/>
        <v>13423</v>
      </c>
      <c r="AB443" s="83">
        <f t="shared" si="246"/>
        <v>19885</v>
      </c>
      <c r="AC443" s="83">
        <f t="shared" si="246"/>
        <v>8460</v>
      </c>
      <c r="AD443" s="83">
        <f t="shared" si="246"/>
        <v>17449</v>
      </c>
      <c r="AE443" s="83">
        <f t="shared" si="246"/>
        <v>28910</v>
      </c>
      <c r="AF443" s="83">
        <f t="shared" si="246"/>
        <v>39637</v>
      </c>
      <c r="AG443" s="83">
        <f t="shared" si="246"/>
        <v>13084</v>
      </c>
      <c r="AH443" s="83">
        <f t="shared" si="246"/>
        <v>31515</v>
      </c>
      <c r="AI443" s="83">
        <f t="shared" si="246"/>
        <v>51088</v>
      </c>
      <c r="AJ443" s="83">
        <f t="shared" si="246"/>
        <v>72966</v>
      </c>
      <c r="AK443" s="83">
        <f t="shared" si="246"/>
        <v>19588</v>
      </c>
      <c r="AL443" s="83">
        <f t="shared" si="246"/>
        <v>27917</v>
      </c>
      <c r="AM443" s="83">
        <f t="shared" si="246"/>
        <v>47536</v>
      </c>
      <c r="AN443" s="83">
        <f t="shared" si="246"/>
        <v>70787</v>
      </c>
      <c r="AO443" s="83">
        <f t="shared" si="246"/>
        <v>22850</v>
      </c>
      <c r="AP443" s="83">
        <f t="shared" si="246"/>
        <v>43485</v>
      </c>
      <c r="AQ443" s="83">
        <f t="shared" ref="AQ443:AR443" si="247">AQ336+AQ374</f>
        <v>73787</v>
      </c>
      <c r="AR443" s="83">
        <f t="shared" si="247"/>
        <v>102546</v>
      </c>
      <c r="AS443" s="83">
        <f t="shared" ref="AS443:AT443" si="248">AS336+AS374</f>
        <v>30137</v>
      </c>
      <c r="AT443" s="83">
        <f t="shared" si="248"/>
        <v>68668</v>
      </c>
      <c r="AU443" s="83">
        <f t="shared" ref="AU443:AV443" si="249">AU336+AU374</f>
        <v>114112</v>
      </c>
      <c r="AV443" s="83">
        <f t="shared" si="249"/>
        <v>155777</v>
      </c>
      <c r="AW443" s="83">
        <f t="shared" ref="AW443:AX443" si="250">AW336+AW374</f>
        <v>39024</v>
      </c>
      <c r="AX443" s="83">
        <f t="shared" si="250"/>
        <v>79631</v>
      </c>
      <c r="AY443" s="11"/>
      <c r="AZ443" s="12"/>
      <c r="BA443" s="244"/>
      <c r="BB443" s="12"/>
      <c r="BC443" s="136"/>
      <c r="BD443" s="118"/>
      <c r="BE443" s="118"/>
      <c r="BF443" s="9"/>
      <c r="BG443" s="9"/>
      <c r="BH443" s="9"/>
      <c r="BI443" s="9"/>
      <c r="BJ443" s="9"/>
      <c r="BK443" s="9"/>
    </row>
    <row r="444" spans="3:63" outlineLevel="1" x14ac:dyDescent="0.2">
      <c r="C444" s="44" t="s">
        <v>171</v>
      </c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9"/>
      <c r="T444" s="84">
        <f>T337+T375</f>
        <v>7139</v>
      </c>
      <c r="U444" s="35"/>
      <c r="V444" s="84">
        <f t="shared" ref="V444:AP444" si="251">V337+V375</f>
        <v>5257</v>
      </c>
      <c r="W444" s="84">
        <f t="shared" si="251"/>
        <v>6935</v>
      </c>
      <c r="X444" s="84">
        <f t="shared" si="251"/>
        <v>8474</v>
      </c>
      <c r="Y444" s="84">
        <f t="shared" si="251"/>
        <v>1868</v>
      </c>
      <c r="Z444" s="84">
        <f t="shared" si="251"/>
        <v>2768</v>
      </c>
      <c r="AA444" s="84">
        <f t="shared" si="251"/>
        <v>4557</v>
      </c>
      <c r="AB444" s="84">
        <f t="shared" si="251"/>
        <v>5826</v>
      </c>
      <c r="AC444" s="84">
        <f t="shared" si="251"/>
        <v>2025</v>
      </c>
      <c r="AD444" s="84">
        <f t="shared" si="251"/>
        <v>5229</v>
      </c>
      <c r="AE444" s="84">
        <f t="shared" si="251"/>
        <v>8353</v>
      </c>
      <c r="AF444" s="84">
        <f t="shared" si="251"/>
        <v>11884</v>
      </c>
      <c r="AG444" s="84">
        <f t="shared" si="251"/>
        <v>2725</v>
      </c>
      <c r="AH444" s="84">
        <f t="shared" si="251"/>
        <v>5835</v>
      </c>
      <c r="AI444" s="84">
        <f t="shared" si="251"/>
        <v>10149</v>
      </c>
      <c r="AJ444" s="84">
        <f t="shared" si="251"/>
        <v>12038</v>
      </c>
      <c r="AK444" s="84">
        <f t="shared" si="251"/>
        <v>4058</v>
      </c>
      <c r="AL444" s="84">
        <f t="shared" si="251"/>
        <v>2932</v>
      </c>
      <c r="AM444" s="84">
        <f t="shared" si="251"/>
        <v>7421</v>
      </c>
      <c r="AN444" s="84">
        <f t="shared" si="251"/>
        <v>14921</v>
      </c>
      <c r="AO444" s="84">
        <f t="shared" si="251"/>
        <v>4132</v>
      </c>
      <c r="AP444" s="84">
        <f t="shared" si="251"/>
        <v>14284</v>
      </c>
      <c r="AQ444" s="84">
        <f t="shared" ref="AQ444:AR444" si="252">AQ337+AQ375</f>
        <v>8266</v>
      </c>
      <c r="AR444" s="84">
        <f t="shared" si="252"/>
        <v>-149</v>
      </c>
      <c r="AS444" s="84">
        <f t="shared" ref="AS444:AT444" si="253">AS337+AS375</f>
        <v>-16916</v>
      </c>
      <c r="AT444" s="84">
        <f t="shared" si="253"/>
        <v>-33943</v>
      </c>
      <c r="AU444" s="84">
        <f t="shared" ref="AU444:AV444" si="254">AU337+AU375</f>
        <v>-55741</v>
      </c>
      <c r="AV444" s="84">
        <f t="shared" si="254"/>
        <v>-65583</v>
      </c>
      <c r="AW444" s="84">
        <f t="shared" ref="AW444:AX444" si="255">AW337+AW375</f>
        <v>-9849</v>
      </c>
      <c r="AX444" s="84">
        <f t="shared" si="255"/>
        <v>-12281</v>
      </c>
      <c r="AY444" s="126"/>
      <c r="AZ444" s="83"/>
      <c r="BA444" s="244"/>
      <c r="BB444" s="12"/>
      <c r="BC444" s="136"/>
      <c r="BD444" s="118"/>
      <c r="BE444" s="9"/>
      <c r="BF444" s="9"/>
      <c r="BG444" s="9"/>
      <c r="BH444" s="9"/>
      <c r="BI444" s="9"/>
      <c r="BJ444" s="9"/>
      <c r="BK444" s="9"/>
    </row>
    <row r="445" spans="3:63" outlineLevel="1" x14ac:dyDescent="0.2">
      <c r="C445" s="44" t="s">
        <v>172</v>
      </c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9"/>
      <c r="T445" s="84">
        <f>T338+T376</f>
        <v>22104</v>
      </c>
      <c r="U445" s="35"/>
      <c r="V445" s="84">
        <f t="shared" ref="V445:AP445" si="256">V338+V376</f>
        <v>12447</v>
      </c>
      <c r="W445" s="84">
        <f t="shared" si="256"/>
        <v>20420</v>
      </c>
      <c r="X445" s="84">
        <f t="shared" si="256"/>
        <v>28976</v>
      </c>
      <c r="Y445" s="84">
        <f t="shared" si="256"/>
        <v>7949</v>
      </c>
      <c r="Z445" s="84">
        <f t="shared" si="256"/>
        <v>16338</v>
      </c>
      <c r="AA445" s="84">
        <f t="shared" si="256"/>
        <v>24116</v>
      </c>
      <c r="AB445" s="84">
        <f t="shared" si="256"/>
        <v>31993</v>
      </c>
      <c r="AC445" s="84">
        <f t="shared" si="256"/>
        <v>8156</v>
      </c>
      <c r="AD445" s="84">
        <f t="shared" si="256"/>
        <v>15465</v>
      </c>
      <c r="AE445" s="84">
        <f t="shared" si="256"/>
        <v>23198</v>
      </c>
      <c r="AF445" s="84">
        <f t="shared" si="256"/>
        <v>30395</v>
      </c>
      <c r="AG445" s="84">
        <f t="shared" si="256"/>
        <v>6590</v>
      </c>
      <c r="AH445" s="84">
        <f t="shared" si="256"/>
        <v>15602</v>
      </c>
      <c r="AI445" s="84">
        <f t="shared" si="256"/>
        <v>23861</v>
      </c>
      <c r="AJ445" s="84">
        <f t="shared" si="256"/>
        <v>34137</v>
      </c>
      <c r="AK445" s="84">
        <f t="shared" si="256"/>
        <v>4902</v>
      </c>
      <c r="AL445" s="84">
        <f t="shared" si="256"/>
        <v>11710</v>
      </c>
      <c r="AM445" s="84">
        <f t="shared" si="256"/>
        <v>17873</v>
      </c>
      <c r="AN445" s="84">
        <f t="shared" si="256"/>
        <v>21688</v>
      </c>
      <c r="AO445" s="84">
        <f t="shared" si="256"/>
        <v>6320</v>
      </c>
      <c r="AP445" s="84">
        <f t="shared" si="256"/>
        <v>10806</v>
      </c>
      <c r="AQ445" s="84">
        <f t="shared" ref="AQ445:AR445" si="257">AQ338+AQ376</f>
        <v>24635</v>
      </c>
      <c r="AR445" s="84">
        <f t="shared" si="257"/>
        <v>40562</v>
      </c>
      <c r="AS445" s="84">
        <f t="shared" ref="AS445:AT445" si="258">AS338+AS376</f>
        <v>23671</v>
      </c>
      <c r="AT445" s="84">
        <f t="shared" si="258"/>
        <v>46273</v>
      </c>
      <c r="AU445" s="84">
        <f t="shared" ref="AU445:AV445" si="259">AU338+AU376</f>
        <v>64253</v>
      </c>
      <c r="AV445" s="84">
        <f t="shared" si="259"/>
        <v>74354</v>
      </c>
      <c r="AW445" s="84">
        <f t="shared" ref="AW445:AX445" si="260">AW338+AW376</f>
        <v>7694</v>
      </c>
      <c r="AX445" s="84">
        <f t="shared" si="260"/>
        <v>9787</v>
      </c>
      <c r="BB445" s="9"/>
      <c r="BC445" s="153"/>
      <c r="BD445" s="9"/>
      <c r="BE445" s="9"/>
      <c r="BF445" s="9"/>
      <c r="BG445" s="9"/>
      <c r="BH445" s="9"/>
      <c r="BI445" s="9"/>
      <c r="BJ445" s="9"/>
      <c r="BK445" s="9"/>
    </row>
    <row r="446" spans="3:63" outlineLevel="1" x14ac:dyDescent="0.2">
      <c r="C446" s="32" t="s">
        <v>11</v>
      </c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35"/>
      <c r="P446" s="26"/>
      <c r="Q446" s="35"/>
      <c r="R446" s="26"/>
      <c r="T446" s="83"/>
      <c r="U446" s="26"/>
      <c r="V446" s="84"/>
      <c r="W446" s="84"/>
      <c r="X446" s="83"/>
      <c r="Y446" s="83"/>
      <c r="Z446" s="84"/>
      <c r="AA446" s="83"/>
      <c r="AB446" s="83"/>
      <c r="AC446" s="83"/>
      <c r="AD446" s="83"/>
      <c r="AE446" s="83"/>
      <c r="AF446" s="83"/>
      <c r="AG446" s="83"/>
      <c r="AH446" s="83"/>
      <c r="AI446" s="83"/>
      <c r="AJ446" s="83"/>
      <c r="AK446" s="83"/>
      <c r="AL446" s="83"/>
      <c r="AM446" s="83"/>
      <c r="AN446" s="83"/>
      <c r="AO446" s="83"/>
      <c r="AP446" s="83"/>
      <c r="AQ446" s="83"/>
      <c r="AR446" s="83"/>
      <c r="AS446" s="83"/>
      <c r="AT446" s="83"/>
      <c r="AU446" s="83"/>
      <c r="AV446" s="83"/>
      <c r="AW446" s="83"/>
      <c r="AX446" s="83"/>
      <c r="AZ446" s="20"/>
      <c r="BA446" s="20"/>
      <c r="BB446" s="9"/>
      <c r="BC446" s="153"/>
      <c r="BD446" s="118"/>
      <c r="BE446" s="9"/>
      <c r="BF446" s="9"/>
      <c r="BG446" s="9"/>
      <c r="BH446" s="9"/>
      <c r="BI446" s="9"/>
      <c r="BJ446" s="9"/>
      <c r="BK446" s="9"/>
    </row>
    <row r="447" spans="3:63" outlineLevel="1" x14ac:dyDescent="0.2">
      <c r="C447" s="44" t="s">
        <v>170</v>
      </c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35"/>
      <c r="P447" s="26"/>
      <c r="Q447" s="35"/>
      <c r="R447" s="26"/>
      <c r="T447" s="84">
        <f>T378</f>
        <v>-1221</v>
      </c>
      <c r="U447" s="26"/>
      <c r="V447" s="84">
        <f t="shared" ref="V447:AP447" si="261">V378</f>
        <v>-978</v>
      </c>
      <c r="W447" s="84">
        <f t="shared" si="261"/>
        <v>-1467</v>
      </c>
      <c r="X447" s="84">
        <f t="shared" si="261"/>
        <v>-1883</v>
      </c>
      <c r="Y447" s="84">
        <f t="shared" si="261"/>
        <v>-559</v>
      </c>
      <c r="Z447" s="84">
        <f t="shared" si="261"/>
        <v>-1089</v>
      </c>
      <c r="AA447" s="84">
        <f t="shared" si="261"/>
        <v>-1626</v>
      </c>
      <c r="AB447" s="84">
        <f t="shared" si="261"/>
        <v>-2294</v>
      </c>
      <c r="AC447" s="84">
        <f t="shared" si="261"/>
        <v>-675</v>
      </c>
      <c r="AD447" s="84">
        <f t="shared" si="261"/>
        <v>-880</v>
      </c>
      <c r="AE447" s="84">
        <f t="shared" si="261"/>
        <v>-1352</v>
      </c>
      <c r="AF447" s="84">
        <f t="shared" si="261"/>
        <v>-1830</v>
      </c>
      <c r="AG447" s="84">
        <f t="shared" si="261"/>
        <v>-506</v>
      </c>
      <c r="AH447" s="84">
        <f t="shared" si="261"/>
        <v>-1147</v>
      </c>
      <c r="AI447" s="84">
        <f t="shared" si="261"/>
        <v>-1520</v>
      </c>
      <c r="AJ447" s="84">
        <f t="shared" si="261"/>
        <v>-2107</v>
      </c>
      <c r="AK447" s="84">
        <f t="shared" si="261"/>
        <v>-581</v>
      </c>
      <c r="AL447" s="84">
        <f t="shared" si="261"/>
        <v>-1262</v>
      </c>
      <c r="AM447" s="84">
        <f t="shared" si="261"/>
        <v>-1965</v>
      </c>
      <c r="AN447" s="84">
        <f t="shared" si="261"/>
        <v>-2626</v>
      </c>
      <c r="AO447" s="84">
        <f t="shared" si="261"/>
        <v>-694</v>
      </c>
      <c r="AP447" s="84">
        <f t="shared" si="261"/>
        <v>-674</v>
      </c>
      <c r="AQ447" s="84">
        <f t="shared" ref="AQ447:AR447" si="262">AQ378</f>
        <v>-1747</v>
      </c>
      <c r="AR447" s="84">
        <f t="shared" si="262"/>
        <v>-2578</v>
      </c>
      <c r="AS447" s="84">
        <f t="shared" ref="AS447:AT447" si="263">AS378</f>
        <v>-751</v>
      </c>
      <c r="AT447" s="84">
        <f t="shared" si="263"/>
        <v>-1563</v>
      </c>
      <c r="AU447" s="84">
        <f t="shared" ref="AU447:AV447" si="264">AU378</f>
        <v>-2550</v>
      </c>
      <c r="AV447" s="84">
        <f t="shared" si="264"/>
        <v>-3882</v>
      </c>
      <c r="AW447" s="84">
        <f t="shared" ref="AW447:AX447" si="265">AW378</f>
        <v>-1253</v>
      </c>
      <c r="AX447" s="84">
        <f t="shared" si="265"/>
        <v>-2386</v>
      </c>
      <c r="AZ447" s="20"/>
      <c r="BA447" s="20"/>
      <c r="BB447" s="9"/>
      <c r="BC447" s="153"/>
      <c r="BD447" s="118"/>
      <c r="BE447" s="9"/>
      <c r="BF447" s="9"/>
      <c r="BG447" s="9"/>
      <c r="BH447" s="9"/>
      <c r="BI447" s="9"/>
      <c r="BJ447" s="9"/>
      <c r="BK447" s="9"/>
    </row>
    <row r="448" spans="3:63" outlineLevel="1" x14ac:dyDescent="0.2">
      <c r="C448" s="133" t="s">
        <v>171</v>
      </c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35"/>
      <c r="P448" s="26"/>
      <c r="Q448" s="35"/>
      <c r="R448" s="26"/>
      <c r="T448" s="84">
        <f>T379</f>
        <v>-42</v>
      </c>
      <c r="U448" s="26"/>
      <c r="V448" s="84">
        <f t="shared" ref="V448:AP448" si="266">V379</f>
        <v>-21</v>
      </c>
      <c r="W448" s="84">
        <f t="shared" si="266"/>
        <v>-122</v>
      </c>
      <c r="X448" s="84">
        <f t="shared" si="266"/>
        <v>-307</v>
      </c>
      <c r="Y448" s="84">
        <f t="shared" si="266"/>
        <v>-84</v>
      </c>
      <c r="Z448" s="84">
        <f t="shared" si="266"/>
        <v>-165</v>
      </c>
      <c r="AA448" s="84">
        <f t="shared" si="266"/>
        <v>-260</v>
      </c>
      <c r="AB448" s="84">
        <f t="shared" si="266"/>
        <v>-340</v>
      </c>
      <c r="AC448" s="84">
        <f t="shared" si="266"/>
        <v>-89</v>
      </c>
      <c r="AD448" s="84">
        <f t="shared" si="266"/>
        <v>-145</v>
      </c>
      <c r="AE448" s="84">
        <f t="shared" si="266"/>
        <v>-207</v>
      </c>
      <c r="AF448" s="84">
        <f t="shared" si="266"/>
        <v>-274</v>
      </c>
      <c r="AG448" s="84">
        <f t="shared" si="266"/>
        <v>-74</v>
      </c>
      <c r="AH448" s="84">
        <f t="shared" si="266"/>
        <v>-155</v>
      </c>
      <c r="AI448" s="84">
        <f t="shared" si="266"/>
        <v>-258</v>
      </c>
      <c r="AJ448" s="84">
        <f t="shared" si="266"/>
        <v>-374</v>
      </c>
      <c r="AK448" s="84">
        <f t="shared" si="266"/>
        <v>-404</v>
      </c>
      <c r="AL448" s="84">
        <f t="shared" si="266"/>
        <v>-204</v>
      </c>
      <c r="AM448" s="84">
        <f t="shared" si="266"/>
        <v>-1170</v>
      </c>
      <c r="AN448" s="84">
        <f t="shared" si="266"/>
        <v>-1742</v>
      </c>
      <c r="AO448" s="84">
        <f t="shared" si="266"/>
        <v>-312</v>
      </c>
      <c r="AP448" s="84">
        <f t="shared" si="266"/>
        <v>-718</v>
      </c>
      <c r="AQ448" s="84">
        <f t="shared" ref="AQ448:AR448" si="267">AQ379</f>
        <v>-976</v>
      </c>
      <c r="AR448" s="84">
        <f t="shared" si="267"/>
        <v>-1403</v>
      </c>
      <c r="AS448" s="84">
        <f t="shared" ref="AS448:AT448" si="268">AS379</f>
        <v>-478</v>
      </c>
      <c r="AT448" s="84">
        <f t="shared" si="268"/>
        <v>-1022</v>
      </c>
      <c r="AU448" s="84">
        <f t="shared" ref="AU448:AV448" si="269">AU379</f>
        <v>-1921</v>
      </c>
      <c r="AV448" s="84">
        <f t="shared" si="269"/>
        <v>-2309</v>
      </c>
      <c r="AW448" s="84">
        <f t="shared" ref="AW448:AX448" si="270">AW379</f>
        <v>-510</v>
      </c>
      <c r="AX448" s="84">
        <f t="shared" si="270"/>
        <v>-1021</v>
      </c>
      <c r="AZ448" s="20"/>
      <c r="BA448" s="20"/>
      <c r="BB448" s="9"/>
      <c r="BC448" s="153"/>
      <c r="BD448" s="118"/>
      <c r="BE448" s="9"/>
      <c r="BF448" s="9"/>
      <c r="BG448" s="9"/>
      <c r="BH448" s="9"/>
      <c r="BI448" s="9"/>
      <c r="BJ448" s="9"/>
      <c r="BK448" s="9"/>
    </row>
    <row r="449" spans="3:63" outlineLevel="1" x14ac:dyDescent="0.2">
      <c r="C449" s="133" t="s">
        <v>172</v>
      </c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35"/>
      <c r="P449" s="26"/>
      <c r="Q449" s="35"/>
      <c r="R449" s="26"/>
      <c r="T449" s="84">
        <f>T380</f>
        <v>0</v>
      </c>
      <c r="U449" s="26"/>
      <c r="V449" s="84">
        <f t="shared" ref="V449:AP449" si="271">V380</f>
        <v>0</v>
      </c>
      <c r="W449" s="84">
        <f t="shared" si="271"/>
        <v>0</v>
      </c>
      <c r="X449" s="84">
        <f t="shared" si="271"/>
        <v>0</v>
      </c>
      <c r="Y449" s="84">
        <f t="shared" si="271"/>
        <v>0</v>
      </c>
      <c r="Z449" s="84">
        <f t="shared" si="271"/>
        <v>0</v>
      </c>
      <c r="AA449" s="84">
        <f t="shared" si="271"/>
        <v>0</v>
      </c>
      <c r="AB449" s="84">
        <f t="shared" si="271"/>
        <v>0</v>
      </c>
      <c r="AC449" s="84">
        <f t="shared" si="271"/>
        <v>0</v>
      </c>
      <c r="AD449" s="84">
        <f t="shared" si="271"/>
        <v>0</v>
      </c>
      <c r="AE449" s="84">
        <f t="shared" si="271"/>
        <v>0</v>
      </c>
      <c r="AF449" s="84">
        <f t="shared" si="271"/>
        <v>0</v>
      </c>
      <c r="AG449" s="84">
        <f t="shared" si="271"/>
        <v>0</v>
      </c>
      <c r="AH449" s="84">
        <f t="shared" si="271"/>
        <v>0</v>
      </c>
      <c r="AI449" s="265">
        <f t="shared" si="271"/>
        <v>-369</v>
      </c>
      <c r="AJ449" s="265">
        <f t="shared" si="271"/>
        <v>-567</v>
      </c>
      <c r="AK449" s="265">
        <f t="shared" si="271"/>
        <v>54</v>
      </c>
      <c r="AL449" s="265">
        <f t="shared" si="271"/>
        <v>-501</v>
      </c>
      <c r="AM449" s="265">
        <f t="shared" si="271"/>
        <v>0</v>
      </c>
      <c r="AN449" s="265">
        <f t="shared" si="271"/>
        <v>0</v>
      </c>
      <c r="AO449" s="265">
        <f t="shared" si="271"/>
        <v>-389</v>
      </c>
      <c r="AP449" s="265">
        <f t="shared" si="271"/>
        <v>-352</v>
      </c>
      <c r="AQ449" s="265">
        <f t="shared" ref="AQ449:AR449" si="272">AQ380</f>
        <v>-156</v>
      </c>
      <c r="AR449" s="265">
        <f t="shared" si="272"/>
        <v>-116</v>
      </c>
      <c r="AS449" s="265">
        <f t="shared" ref="AS449:AT449" si="273">AS380</f>
        <v>-109</v>
      </c>
      <c r="AT449" s="265">
        <f t="shared" si="273"/>
        <v>-431</v>
      </c>
      <c r="AU449" s="265">
        <f t="shared" ref="AU449:AV449" si="274">AU380</f>
        <v>-237</v>
      </c>
      <c r="AV449" s="265">
        <f t="shared" si="274"/>
        <v>-296</v>
      </c>
      <c r="AW449" s="265">
        <f t="shared" ref="AW449:AX449" si="275">AW380</f>
        <v>-218</v>
      </c>
      <c r="AX449" s="265">
        <f t="shared" si="275"/>
        <v>-537</v>
      </c>
      <c r="BA449" s="20"/>
      <c r="BB449" s="20"/>
      <c r="BC449" s="153"/>
      <c r="BD449" s="9"/>
      <c r="BE449" s="9"/>
      <c r="BF449" s="9"/>
      <c r="BG449" s="9"/>
      <c r="BH449" s="9"/>
      <c r="BI449" s="9"/>
      <c r="BJ449" s="9"/>
      <c r="BK449" s="9"/>
    </row>
    <row r="450" spans="3:63" outlineLevel="1" x14ac:dyDescent="0.2">
      <c r="C450" s="85" t="s">
        <v>209</v>
      </c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35"/>
      <c r="P450" s="26"/>
      <c r="Q450" s="35"/>
      <c r="R450" s="26"/>
      <c r="T450" s="90"/>
      <c r="U450" s="26"/>
      <c r="V450" s="89"/>
      <c r="W450" s="89"/>
      <c r="X450" s="90"/>
      <c r="Y450" s="90"/>
      <c r="Z450" s="89"/>
      <c r="AA450" s="90"/>
      <c r="AB450" s="90"/>
      <c r="AC450" s="90"/>
      <c r="AD450" s="90"/>
      <c r="AE450" s="90"/>
      <c r="AF450" s="90"/>
      <c r="AG450" s="90"/>
      <c r="AH450" s="90"/>
      <c r="AI450" s="264"/>
      <c r="AJ450" s="264"/>
      <c r="AK450" s="264"/>
      <c r="AL450" s="264"/>
      <c r="AM450" s="264"/>
      <c r="AN450" s="264"/>
      <c r="AO450" s="264"/>
      <c r="AP450" s="264"/>
      <c r="AQ450" s="264"/>
      <c r="AR450" s="264"/>
      <c r="AS450" s="264"/>
      <c r="AT450" s="264"/>
      <c r="AU450" s="264"/>
      <c r="AV450" s="264"/>
      <c r="AW450" s="264"/>
      <c r="AX450" s="264"/>
      <c r="AZ450" s="20"/>
      <c r="BA450" s="20"/>
      <c r="BB450" s="9"/>
      <c r="BC450" s="153"/>
      <c r="BD450" s="261"/>
      <c r="BE450" s="9"/>
      <c r="BF450" s="9"/>
      <c r="BG450" s="9"/>
      <c r="BH450" s="9"/>
      <c r="BI450" s="9"/>
      <c r="BJ450" s="9"/>
      <c r="BK450" s="9"/>
    </row>
    <row r="451" spans="3:63" outlineLevel="1" x14ac:dyDescent="0.2">
      <c r="C451" s="85" t="s">
        <v>170</v>
      </c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35"/>
      <c r="P451" s="26"/>
      <c r="Q451" s="35"/>
      <c r="R451" s="26"/>
      <c r="T451" s="87">
        <f>SUM(T443,T447)</f>
        <v>3777</v>
      </c>
      <c r="U451" s="26"/>
      <c r="V451" s="87">
        <f t="shared" ref="V451:AF451" si="276">SUM(V443,V447)</f>
        <v>3708</v>
      </c>
      <c r="W451" s="87">
        <f t="shared" si="276"/>
        <v>6744</v>
      </c>
      <c r="X451" s="87">
        <f t="shared" si="276"/>
        <v>10336</v>
      </c>
      <c r="Y451" s="87">
        <f t="shared" si="276"/>
        <v>3368</v>
      </c>
      <c r="Z451" s="87">
        <f t="shared" si="276"/>
        <v>7207</v>
      </c>
      <c r="AA451" s="87">
        <f t="shared" si="276"/>
        <v>11797</v>
      </c>
      <c r="AB451" s="87">
        <f>SUM(AB443,AB447)</f>
        <v>17591</v>
      </c>
      <c r="AC451" s="87">
        <f t="shared" si="276"/>
        <v>7785</v>
      </c>
      <c r="AD451" s="87">
        <f t="shared" si="276"/>
        <v>16569</v>
      </c>
      <c r="AE451" s="87">
        <f t="shared" si="276"/>
        <v>27558</v>
      </c>
      <c r="AF451" s="87">
        <f t="shared" si="276"/>
        <v>37807</v>
      </c>
      <c r="AG451" s="87">
        <f t="shared" ref="AG451:AI452" si="277">SUM(AG443,AG447)</f>
        <v>12578</v>
      </c>
      <c r="AH451" s="87">
        <f t="shared" si="277"/>
        <v>30368</v>
      </c>
      <c r="AI451" s="87">
        <f t="shared" si="277"/>
        <v>49568</v>
      </c>
      <c r="AJ451" s="87">
        <f t="shared" ref="AJ451:AK451" si="278">SUM(AJ443,AJ447)</f>
        <v>70859</v>
      </c>
      <c r="AK451" s="87">
        <f t="shared" si="278"/>
        <v>19007</v>
      </c>
      <c r="AL451" s="87">
        <f t="shared" ref="AL451:AN451" si="279">SUM(AL443,AL447)</f>
        <v>26655</v>
      </c>
      <c r="AM451" s="87">
        <f t="shared" si="279"/>
        <v>45571</v>
      </c>
      <c r="AN451" s="87">
        <f t="shared" si="279"/>
        <v>68161</v>
      </c>
      <c r="AO451" s="87">
        <f t="shared" ref="AO451" si="280">SUM(AO443,AO447)</f>
        <v>22156</v>
      </c>
      <c r="AP451" s="87">
        <f t="shared" ref="AP451:AU451" si="281">SUM(AP443,AP447)</f>
        <v>42811</v>
      </c>
      <c r="AQ451" s="87">
        <f t="shared" si="281"/>
        <v>72040</v>
      </c>
      <c r="AR451" s="87">
        <f t="shared" si="281"/>
        <v>99968</v>
      </c>
      <c r="AS451" s="87">
        <f t="shared" si="281"/>
        <v>29386</v>
      </c>
      <c r="AT451" s="87">
        <f t="shared" si="281"/>
        <v>67105</v>
      </c>
      <c r="AU451" s="87">
        <f t="shared" si="281"/>
        <v>111562</v>
      </c>
      <c r="AV451" s="87">
        <f t="shared" ref="AV451:AW451" si="282">SUM(AV443,AV447)</f>
        <v>151895</v>
      </c>
      <c r="AW451" s="87">
        <f t="shared" si="282"/>
        <v>37771</v>
      </c>
      <c r="AX451" s="87">
        <f t="shared" ref="AX451" si="283">SUM(AX443,AX447)</f>
        <v>77245</v>
      </c>
      <c r="AY451" s="126"/>
      <c r="AZ451" s="20"/>
      <c r="BA451" s="20"/>
      <c r="BB451" s="9"/>
      <c r="BC451" s="153"/>
      <c r="BD451" s="118"/>
      <c r="BE451" s="118"/>
      <c r="BF451" s="9"/>
      <c r="BG451" s="9"/>
      <c r="BH451" s="9"/>
      <c r="BI451" s="9"/>
      <c r="BJ451" s="9"/>
      <c r="BK451" s="9"/>
    </row>
    <row r="452" spans="3:63" outlineLevel="1" x14ac:dyDescent="0.2">
      <c r="C452" s="88" t="s">
        <v>264</v>
      </c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35"/>
      <c r="P452" s="26"/>
      <c r="Q452" s="35"/>
      <c r="R452" s="26"/>
      <c r="T452" s="91">
        <f>SUM(T444,T448)</f>
        <v>7097</v>
      </c>
      <c r="U452" s="26"/>
      <c r="V452" s="91">
        <f t="shared" ref="V452:AF452" si="284">SUM(V444,V448)</f>
        <v>5236</v>
      </c>
      <c r="W452" s="91">
        <f t="shared" si="284"/>
        <v>6813</v>
      </c>
      <c r="X452" s="91">
        <f t="shared" si="284"/>
        <v>8167</v>
      </c>
      <c r="Y452" s="91">
        <f t="shared" si="284"/>
        <v>1784</v>
      </c>
      <c r="Z452" s="91">
        <f t="shared" si="284"/>
        <v>2603</v>
      </c>
      <c r="AA452" s="91">
        <f t="shared" si="284"/>
        <v>4297</v>
      </c>
      <c r="AB452" s="91">
        <f t="shared" si="284"/>
        <v>5486</v>
      </c>
      <c r="AC452" s="91">
        <f t="shared" si="284"/>
        <v>1936</v>
      </c>
      <c r="AD452" s="91">
        <f t="shared" si="284"/>
        <v>5084</v>
      </c>
      <c r="AE452" s="91">
        <f t="shared" si="284"/>
        <v>8146</v>
      </c>
      <c r="AF452" s="91">
        <f t="shared" si="284"/>
        <v>11610</v>
      </c>
      <c r="AG452" s="91">
        <f t="shared" si="277"/>
        <v>2651</v>
      </c>
      <c r="AH452" s="91">
        <f t="shared" si="277"/>
        <v>5680</v>
      </c>
      <c r="AI452" s="91">
        <f t="shared" si="277"/>
        <v>9891</v>
      </c>
      <c r="AJ452" s="91">
        <f t="shared" ref="AJ452:AK452" si="285">SUM(AJ444,AJ448)</f>
        <v>11664</v>
      </c>
      <c r="AK452" s="91">
        <f t="shared" si="285"/>
        <v>3654</v>
      </c>
      <c r="AL452" s="91">
        <f t="shared" ref="AL452:AN452" si="286">SUM(AL444,AL448)</f>
        <v>2728</v>
      </c>
      <c r="AM452" s="91">
        <f t="shared" si="286"/>
        <v>6251</v>
      </c>
      <c r="AN452" s="91">
        <f t="shared" si="286"/>
        <v>13179</v>
      </c>
      <c r="AO452" s="91">
        <f t="shared" ref="AO452:AP452" si="287">SUM(AO444,AO448)</f>
        <v>3820</v>
      </c>
      <c r="AP452" s="91">
        <f t="shared" si="287"/>
        <v>13566</v>
      </c>
      <c r="AQ452" s="91">
        <f t="shared" ref="AQ452:AR452" si="288">SUM(AQ444,AQ448)</f>
        <v>7290</v>
      </c>
      <c r="AR452" s="91">
        <f t="shared" si="288"/>
        <v>-1552</v>
      </c>
      <c r="AS452" s="91">
        <f t="shared" ref="AS452:AT452" si="289">SUM(AS444,AS448)</f>
        <v>-17394</v>
      </c>
      <c r="AT452" s="91">
        <f t="shared" si="289"/>
        <v>-34965</v>
      </c>
      <c r="AU452" s="91">
        <f t="shared" ref="AU452:AV452" si="290">SUM(AU444,AU448)</f>
        <v>-57662</v>
      </c>
      <c r="AV452" s="91">
        <f t="shared" si="290"/>
        <v>-67892</v>
      </c>
      <c r="AW452" s="91">
        <f t="shared" ref="AW452:AX452" si="291">SUM(AW444,AW448)</f>
        <v>-10359</v>
      </c>
      <c r="AX452" s="91">
        <f t="shared" si="291"/>
        <v>-13302</v>
      </c>
      <c r="AY452" s="126"/>
      <c r="AZ452" s="20"/>
      <c r="BA452" s="20"/>
      <c r="BB452" s="9"/>
      <c r="BC452" s="153"/>
      <c r="BD452" s="262"/>
      <c r="BE452" s="118"/>
      <c r="BF452" s="9"/>
      <c r="BG452" s="9"/>
      <c r="BH452" s="9"/>
      <c r="BI452" s="9"/>
      <c r="BJ452" s="9"/>
      <c r="BK452" s="9"/>
    </row>
    <row r="453" spans="3:63" outlineLevel="1" x14ac:dyDescent="0.2">
      <c r="C453" s="88" t="s">
        <v>172</v>
      </c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35"/>
      <c r="P453" s="26"/>
      <c r="Q453" s="35"/>
      <c r="R453" s="26"/>
      <c r="T453" s="91">
        <f>T445+T449</f>
        <v>22104</v>
      </c>
      <c r="U453" s="26"/>
      <c r="V453" s="91">
        <f t="shared" ref="V453:AF453" si="292">V445+V449</f>
        <v>12447</v>
      </c>
      <c r="W453" s="91">
        <f t="shared" si="292"/>
        <v>20420</v>
      </c>
      <c r="X453" s="91">
        <f t="shared" si="292"/>
        <v>28976</v>
      </c>
      <c r="Y453" s="91">
        <f t="shared" si="292"/>
        <v>7949</v>
      </c>
      <c r="Z453" s="91">
        <f t="shared" si="292"/>
        <v>16338</v>
      </c>
      <c r="AA453" s="91">
        <f t="shared" si="292"/>
        <v>24116</v>
      </c>
      <c r="AB453" s="91">
        <f t="shared" si="292"/>
        <v>31993</v>
      </c>
      <c r="AC453" s="91">
        <f t="shared" si="292"/>
        <v>8156</v>
      </c>
      <c r="AD453" s="91">
        <f t="shared" si="292"/>
        <v>15465</v>
      </c>
      <c r="AE453" s="91">
        <f t="shared" si="292"/>
        <v>23198</v>
      </c>
      <c r="AF453" s="91">
        <f t="shared" si="292"/>
        <v>30395</v>
      </c>
      <c r="AG453" s="91">
        <f t="shared" ref="AG453:AL453" si="293">AG445+AG449</f>
        <v>6590</v>
      </c>
      <c r="AH453" s="91">
        <f t="shared" si="293"/>
        <v>15602</v>
      </c>
      <c r="AI453" s="91">
        <f t="shared" si="293"/>
        <v>23492</v>
      </c>
      <c r="AJ453" s="91">
        <f t="shared" si="293"/>
        <v>33570</v>
      </c>
      <c r="AK453" s="91">
        <f t="shared" si="293"/>
        <v>4956</v>
      </c>
      <c r="AL453" s="91">
        <f t="shared" si="293"/>
        <v>11209</v>
      </c>
      <c r="AM453" s="91">
        <f t="shared" ref="AM453:AN453" si="294">AM445+AM449</f>
        <v>17873</v>
      </c>
      <c r="AN453" s="91">
        <f t="shared" si="294"/>
        <v>21688</v>
      </c>
      <c r="AO453" s="91">
        <f t="shared" ref="AO453:AP453" si="295">AO445+AO449</f>
        <v>5931</v>
      </c>
      <c r="AP453" s="91">
        <f t="shared" si="295"/>
        <v>10454</v>
      </c>
      <c r="AQ453" s="91">
        <f t="shared" ref="AQ453:AR453" si="296">AQ445+AQ449</f>
        <v>24479</v>
      </c>
      <c r="AR453" s="91">
        <f t="shared" si="296"/>
        <v>40446</v>
      </c>
      <c r="AS453" s="91">
        <f t="shared" ref="AS453:AT453" si="297">AS445+AS449</f>
        <v>23562</v>
      </c>
      <c r="AT453" s="91">
        <f t="shared" si="297"/>
        <v>45842</v>
      </c>
      <c r="AU453" s="91">
        <f t="shared" ref="AU453:AV453" si="298">AU445+AU449</f>
        <v>64016</v>
      </c>
      <c r="AV453" s="91">
        <f t="shared" si="298"/>
        <v>74058</v>
      </c>
      <c r="AW453" s="91">
        <f t="shared" ref="AW453:AX453" si="299">AW445+AW449</f>
        <v>7476</v>
      </c>
      <c r="AX453" s="91">
        <f t="shared" si="299"/>
        <v>9250</v>
      </c>
      <c r="AY453" s="126"/>
      <c r="BA453" s="9"/>
      <c r="BB453" s="9"/>
      <c r="BC453" s="118"/>
      <c r="BD453" s="118"/>
      <c r="BE453" s="118"/>
      <c r="BF453" s="9"/>
      <c r="BG453" s="9"/>
      <c r="BH453" s="9"/>
      <c r="BI453" s="9"/>
      <c r="BJ453" s="9"/>
      <c r="BK453" s="9"/>
    </row>
    <row r="454" spans="3:63" outlineLevel="1" x14ac:dyDescent="0.2">
      <c r="C454" s="88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35"/>
      <c r="P454" s="26"/>
      <c r="Q454" s="35"/>
      <c r="R454" s="26"/>
      <c r="T454" s="35"/>
      <c r="U454" s="26"/>
      <c r="V454" s="87"/>
      <c r="W454" s="87"/>
      <c r="X454" s="35"/>
      <c r="Y454" s="87"/>
      <c r="Z454" s="87"/>
      <c r="AA454" s="87"/>
      <c r="AB454" s="87"/>
      <c r="AC454" s="87"/>
      <c r="AD454" s="87"/>
      <c r="AE454" s="87"/>
      <c r="AF454" s="87"/>
      <c r="AG454" s="87"/>
      <c r="AH454" s="87"/>
      <c r="AI454" s="87"/>
      <c r="AJ454" s="87"/>
      <c r="AK454" s="87"/>
      <c r="AL454" s="87"/>
      <c r="AM454" s="87"/>
      <c r="AN454" s="87"/>
      <c r="AO454" s="87"/>
      <c r="AP454" s="87"/>
      <c r="AQ454" s="87"/>
      <c r="AR454" s="87"/>
      <c r="AS454" s="87"/>
      <c r="AT454" s="87"/>
      <c r="AU454" s="87"/>
      <c r="AV454" s="87"/>
      <c r="AW454" s="87"/>
      <c r="AX454" s="87"/>
      <c r="BA454" s="9"/>
      <c r="BB454" s="9"/>
      <c r="BC454" s="9"/>
      <c r="BD454" s="83"/>
      <c r="BE454" s="9"/>
      <c r="BF454" s="9"/>
      <c r="BG454" s="9"/>
      <c r="BH454" s="9"/>
      <c r="BI454" s="9"/>
      <c r="BJ454" s="9"/>
      <c r="BK454" s="9"/>
    </row>
    <row r="455" spans="3:63" outlineLevel="1" x14ac:dyDescent="0.2">
      <c r="C455" s="85" t="s">
        <v>414</v>
      </c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35"/>
      <c r="P455" s="26"/>
      <c r="Q455" s="35"/>
      <c r="R455" s="26"/>
      <c r="T455" s="35"/>
      <c r="U455" s="26"/>
      <c r="V455" s="87"/>
      <c r="W455" s="87"/>
      <c r="X455" s="35"/>
      <c r="Y455" s="87"/>
      <c r="Z455" s="87"/>
      <c r="AA455" s="87"/>
      <c r="BA455" s="9"/>
      <c r="BB455" s="9"/>
      <c r="BC455" s="9"/>
      <c r="BD455" s="83"/>
      <c r="BE455" s="9"/>
      <c r="BF455" s="9"/>
      <c r="BG455" s="9"/>
      <c r="BH455" s="9"/>
      <c r="BI455" s="9"/>
      <c r="BJ455" s="9"/>
      <c r="BK455" s="9"/>
    </row>
    <row r="456" spans="3:63" outlineLevel="1" x14ac:dyDescent="0.2">
      <c r="C456" s="85" t="s">
        <v>170</v>
      </c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35"/>
      <c r="P456" s="26"/>
      <c r="Q456" s="35"/>
      <c r="R456" s="26"/>
      <c r="T456" s="35"/>
      <c r="U456" s="26"/>
      <c r="V456" s="87"/>
      <c r="W456" s="87"/>
      <c r="X456" s="87">
        <f t="shared" ref="X456:AA456" si="300">X451+X368</f>
        <v>23450</v>
      </c>
      <c r="Y456" s="87">
        <f t="shared" si="300"/>
        <v>6139</v>
      </c>
      <c r="Z456" s="87">
        <f>Z451+Z368</f>
        <v>12476</v>
      </c>
      <c r="AA456" s="87">
        <f t="shared" si="300"/>
        <v>19566</v>
      </c>
      <c r="AB456" s="87">
        <f>AB451+AB368</f>
        <v>27912</v>
      </c>
      <c r="AC456" s="87">
        <f t="shared" ref="AC456:AD456" si="301">AC451+AC368</f>
        <v>9806</v>
      </c>
      <c r="AD456" s="87">
        <f t="shared" si="301"/>
        <v>20571</v>
      </c>
      <c r="AE456" s="87">
        <f t="shared" ref="AE456:AJ456" si="302">AE451+AE368</f>
        <v>33206</v>
      </c>
      <c r="AF456" s="87">
        <f t="shared" si="302"/>
        <v>44795</v>
      </c>
      <c r="AG456" s="87">
        <f t="shared" si="302"/>
        <v>13758</v>
      </c>
      <c r="AH456" s="87">
        <f t="shared" si="302"/>
        <v>33245</v>
      </c>
      <c r="AI456" s="87">
        <f t="shared" si="302"/>
        <v>51524</v>
      </c>
      <c r="AJ456" s="87">
        <f t="shared" si="302"/>
        <v>71637</v>
      </c>
      <c r="AK456" s="87">
        <f t="shared" ref="AK456:AO456" si="303">AK451+AK422</f>
        <v>14264</v>
      </c>
      <c r="AL456" s="87">
        <f t="shared" si="303"/>
        <v>23656</v>
      </c>
      <c r="AM456" s="87">
        <f t="shared" si="303"/>
        <v>37543</v>
      </c>
      <c r="AN456" s="87">
        <f t="shared" si="303"/>
        <v>65429</v>
      </c>
      <c r="AO456" s="87">
        <f t="shared" si="303"/>
        <v>21111</v>
      </c>
      <c r="AP456" s="87">
        <f t="shared" ref="AP456:AQ456" si="304">AP451+AP422</f>
        <v>41201</v>
      </c>
      <c r="AQ456" s="87">
        <f t="shared" si="304"/>
        <v>66108</v>
      </c>
      <c r="AR456" s="87">
        <f t="shared" ref="AR456:AW456" si="305">AR451+AR422</f>
        <v>77165</v>
      </c>
      <c r="AS456" s="87">
        <f t="shared" si="305"/>
        <v>19830</v>
      </c>
      <c r="AT456" s="87">
        <f t="shared" si="305"/>
        <v>46411</v>
      </c>
      <c r="AU456" s="87">
        <f t="shared" si="305"/>
        <v>67807</v>
      </c>
      <c r="AV456" s="87">
        <f t="shared" si="305"/>
        <v>92293</v>
      </c>
      <c r="AW456" s="87">
        <f t="shared" si="305"/>
        <v>25965</v>
      </c>
      <c r="AX456" s="87">
        <f t="shared" ref="AX456" si="306">AX451+AX422</f>
        <v>48613</v>
      </c>
      <c r="BA456" s="9"/>
      <c r="BB456" s="9"/>
      <c r="BC456" s="9"/>
      <c r="BD456" s="83"/>
      <c r="BE456" s="9"/>
      <c r="BF456" s="9"/>
      <c r="BG456" s="9"/>
      <c r="BH456" s="9"/>
      <c r="BI456" s="9"/>
      <c r="BJ456" s="9"/>
      <c r="BK456" s="9"/>
    </row>
    <row r="457" spans="3:63" outlineLevel="1" x14ac:dyDescent="0.2">
      <c r="C457" s="88" t="s">
        <v>264</v>
      </c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35"/>
      <c r="P457" s="26"/>
      <c r="Q457" s="35"/>
      <c r="R457" s="26"/>
      <c r="T457" s="35"/>
      <c r="U457" s="26"/>
      <c r="V457" s="87"/>
      <c r="W457" s="87"/>
      <c r="X457" s="87">
        <f t="shared" ref="X457:AA457" si="307">X452+X369</f>
        <v>9267</v>
      </c>
      <c r="Y457" s="87">
        <f t="shared" si="307"/>
        <v>2877</v>
      </c>
      <c r="Z457" s="87">
        <f>Z452+Z369</f>
        <v>5730</v>
      </c>
      <c r="AA457" s="87">
        <f t="shared" si="307"/>
        <v>9760</v>
      </c>
      <c r="AB457" s="87">
        <f>AB452+AB369</f>
        <v>12259</v>
      </c>
      <c r="AC457" s="87">
        <f t="shared" ref="AC457:AD457" si="308">AC452+AC369</f>
        <v>3483</v>
      </c>
      <c r="AD457" s="87">
        <f t="shared" si="308"/>
        <v>7397</v>
      </c>
      <c r="AE457" s="87">
        <f t="shared" ref="AE457:AP457" si="309">AE452+AE369</f>
        <v>11072</v>
      </c>
      <c r="AF457" s="87">
        <f t="shared" si="309"/>
        <v>16507</v>
      </c>
      <c r="AG457" s="87">
        <f t="shared" si="309"/>
        <v>5616</v>
      </c>
      <c r="AH457" s="87">
        <f t="shared" si="309"/>
        <v>12068</v>
      </c>
      <c r="AI457" s="87">
        <f t="shared" si="309"/>
        <v>19475</v>
      </c>
      <c r="AJ457" s="87">
        <f t="shared" si="309"/>
        <v>25481</v>
      </c>
      <c r="AK457" s="87">
        <f t="shared" si="309"/>
        <v>14758</v>
      </c>
      <c r="AL457" s="87">
        <f t="shared" si="309"/>
        <v>19964</v>
      </c>
      <c r="AM457" s="87">
        <f t="shared" si="309"/>
        <v>39890</v>
      </c>
      <c r="AN457" s="87">
        <f t="shared" si="309"/>
        <v>48526</v>
      </c>
      <c r="AO457" s="87">
        <f t="shared" si="309"/>
        <v>13280</v>
      </c>
      <c r="AP457" s="87">
        <f t="shared" si="309"/>
        <v>28027</v>
      </c>
      <c r="AQ457" s="87">
        <f t="shared" ref="AQ457" si="310">AQ452+AQ369</f>
        <v>38517</v>
      </c>
      <c r="AR457" s="87">
        <f t="shared" ref="AR457:AW457" si="311">AR452+AR369</f>
        <v>58453</v>
      </c>
      <c r="AS457" s="87">
        <f t="shared" si="311"/>
        <v>16480</v>
      </c>
      <c r="AT457" s="87">
        <f t="shared" si="311"/>
        <v>41065</v>
      </c>
      <c r="AU457" s="87">
        <f t="shared" si="311"/>
        <v>71140</v>
      </c>
      <c r="AV457" s="87">
        <f t="shared" si="311"/>
        <v>106978</v>
      </c>
      <c r="AW457" s="87">
        <f t="shared" si="311"/>
        <v>23406</v>
      </c>
      <c r="AX457" s="87">
        <f t="shared" ref="AX457" si="312">AX452+AX369</f>
        <v>47121</v>
      </c>
      <c r="BA457" s="9"/>
      <c r="BB457" s="9"/>
      <c r="BC457" s="9"/>
      <c r="BD457" s="83"/>
      <c r="BE457" s="9"/>
      <c r="BF457" s="9"/>
      <c r="BG457" s="9"/>
      <c r="BH457" s="9"/>
      <c r="BI457" s="9"/>
      <c r="BJ457" s="9"/>
      <c r="BK457" s="9"/>
    </row>
    <row r="458" spans="3:63" outlineLevel="1" x14ac:dyDescent="0.2">
      <c r="C458" s="88" t="s">
        <v>172</v>
      </c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35"/>
      <c r="P458" s="26"/>
      <c r="Q458" s="35"/>
      <c r="R458" s="26"/>
      <c r="T458" s="35"/>
      <c r="U458" s="26"/>
      <c r="V458" s="87"/>
      <c r="W458" s="87"/>
      <c r="X458" s="87">
        <f t="shared" ref="X458:AA458" si="313">X453+X424</f>
        <v>14762</v>
      </c>
      <c r="Y458" s="87">
        <f t="shared" si="313"/>
        <v>4085</v>
      </c>
      <c r="Z458" s="87">
        <f>Z453+Z424</f>
        <v>7942</v>
      </c>
      <c r="AA458" s="87">
        <f t="shared" si="313"/>
        <v>10884</v>
      </c>
      <c r="AB458" s="87">
        <f>AB453+AB424</f>
        <v>14899</v>
      </c>
      <c r="AC458" s="87">
        <f t="shared" ref="AC458:AD458" si="314">AC453+AC424</f>
        <v>4588</v>
      </c>
      <c r="AD458" s="87">
        <f t="shared" si="314"/>
        <v>9150</v>
      </c>
      <c r="AE458" s="87">
        <f t="shared" ref="AE458:AP458" si="315">AE453+AE424</f>
        <v>14624</v>
      </c>
      <c r="AF458" s="87">
        <f t="shared" si="315"/>
        <v>18510</v>
      </c>
      <c r="AG458" s="87">
        <f t="shared" si="315"/>
        <v>2445</v>
      </c>
      <c r="AH458" s="87">
        <f t="shared" si="315"/>
        <v>6337</v>
      </c>
      <c r="AI458" s="87">
        <f t="shared" si="315"/>
        <v>11952</v>
      </c>
      <c r="AJ458" s="87">
        <f t="shared" si="315"/>
        <v>18975</v>
      </c>
      <c r="AK458" s="87">
        <f t="shared" si="315"/>
        <v>-1405</v>
      </c>
      <c r="AL458" s="87">
        <f t="shared" si="315"/>
        <v>-3028</v>
      </c>
      <c r="AM458" s="87">
        <f t="shared" si="315"/>
        <v>-7738</v>
      </c>
      <c r="AN458" s="87">
        <f t="shared" si="315"/>
        <v>-10927</v>
      </c>
      <c r="AO458" s="87">
        <f t="shared" si="315"/>
        <v>-2484</v>
      </c>
      <c r="AP458" s="87">
        <f t="shared" si="315"/>
        <v>-2397</v>
      </c>
      <c r="AQ458" s="87">
        <f t="shared" ref="AQ458" si="316">AQ453+AQ424</f>
        <v>-816</v>
      </c>
      <c r="AR458" s="87">
        <f t="shared" ref="AR458:AW458" si="317">AR453+AR424</f>
        <v>3244</v>
      </c>
      <c r="AS458" s="87">
        <f t="shared" si="317"/>
        <v>-756</v>
      </c>
      <c r="AT458" s="87">
        <f t="shared" si="317"/>
        <v>-9494</v>
      </c>
      <c r="AU458" s="87">
        <f t="shared" si="317"/>
        <v>-21031</v>
      </c>
      <c r="AV458" s="87">
        <f t="shared" si="317"/>
        <v>-41210</v>
      </c>
      <c r="AW458" s="87">
        <f t="shared" si="317"/>
        <v>-14483</v>
      </c>
      <c r="AX458" s="87">
        <f t="shared" ref="AX458" si="318">AX453+AX424</f>
        <v>-22541</v>
      </c>
      <c r="BA458" s="9"/>
      <c r="BB458" s="9"/>
      <c r="BC458" s="9"/>
      <c r="BD458" s="83"/>
      <c r="BE458" s="9"/>
      <c r="BF458" s="9"/>
      <c r="BG458" s="9"/>
      <c r="BH458" s="9"/>
      <c r="BI458" s="9"/>
      <c r="BJ458" s="9"/>
      <c r="BK458" s="9"/>
    </row>
    <row r="459" spans="3:63" outlineLevel="1" x14ac:dyDescent="0.2">
      <c r="C459" s="88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35"/>
      <c r="P459" s="26"/>
      <c r="Q459" s="35"/>
      <c r="R459" s="26"/>
      <c r="T459" s="35"/>
      <c r="U459" s="26"/>
      <c r="V459" s="87"/>
      <c r="W459" s="87"/>
      <c r="X459" s="302">
        <f t="shared" ref="X459" si="319">SUM(X456:X458)-SUM(X451:X453)</f>
        <v>0</v>
      </c>
      <c r="Y459" s="302">
        <f t="shared" ref="Y459" si="320">SUM(Y456:Y458)-SUM(Y451:Y453)</f>
        <v>0</v>
      </c>
      <c r="Z459" s="302">
        <f t="shared" ref="Z459" si="321">SUM(Z456:Z458)-SUM(Z451:Z453)</f>
        <v>0</v>
      </c>
      <c r="AA459" s="302">
        <f t="shared" ref="AA459" si="322">SUM(AA456:AA458)-SUM(AA451:AA453)</f>
        <v>0</v>
      </c>
      <c r="AB459" s="302">
        <f t="shared" ref="AB459" si="323">SUM(AB456:AB458)-SUM(AB451:AB453)</f>
        <v>0</v>
      </c>
      <c r="AC459" s="302">
        <f t="shared" ref="AC459" si="324">SUM(AC456:AC458)-SUM(AC451:AC453)</f>
        <v>0</v>
      </c>
      <c r="AD459" s="302">
        <f t="shared" ref="AD459" si="325">SUM(AD456:AD458)-SUM(AD451:AD453)</f>
        <v>0</v>
      </c>
      <c r="AE459" s="302">
        <f t="shared" ref="AE459" si="326">SUM(AE456:AE458)-SUM(AE451:AE453)</f>
        <v>0</v>
      </c>
      <c r="AF459" s="302">
        <f t="shared" ref="AF459:AQ459" si="327">SUM(AF456:AF458)-SUM(AF451:AF453)</f>
        <v>0</v>
      </c>
      <c r="AG459" s="302">
        <f t="shared" si="327"/>
        <v>0</v>
      </c>
      <c r="AH459" s="302">
        <f t="shared" si="327"/>
        <v>0</v>
      </c>
      <c r="AI459" s="302">
        <f t="shared" si="327"/>
        <v>0</v>
      </c>
      <c r="AJ459" s="302">
        <f t="shared" si="327"/>
        <v>0</v>
      </c>
      <c r="AK459" s="302">
        <f t="shared" si="327"/>
        <v>0</v>
      </c>
      <c r="AL459" s="302">
        <f t="shared" si="327"/>
        <v>0</v>
      </c>
      <c r="AM459" s="302">
        <f t="shared" si="327"/>
        <v>0</v>
      </c>
      <c r="AN459" s="302">
        <f t="shared" si="327"/>
        <v>0</v>
      </c>
      <c r="AO459" s="302">
        <f t="shared" si="327"/>
        <v>0</v>
      </c>
      <c r="AP459" s="302">
        <f t="shared" si="327"/>
        <v>0</v>
      </c>
      <c r="AQ459" s="302">
        <f t="shared" si="327"/>
        <v>0</v>
      </c>
      <c r="AR459" s="302">
        <f t="shared" ref="AR459:AW459" si="328">SUM(AR456:AR458)-SUM(AR451:AR453)</f>
        <v>0</v>
      </c>
      <c r="AS459" s="302">
        <f t="shared" si="328"/>
        <v>0</v>
      </c>
      <c r="AT459" s="302">
        <f t="shared" si="328"/>
        <v>0</v>
      </c>
      <c r="AU459" s="302">
        <f t="shared" si="328"/>
        <v>0</v>
      </c>
      <c r="AV459" s="302">
        <f t="shared" si="328"/>
        <v>0</v>
      </c>
      <c r="AW459" s="302">
        <f t="shared" si="328"/>
        <v>0</v>
      </c>
      <c r="AX459" s="302">
        <f t="shared" ref="AX459" si="329">SUM(AX456:AX458)-SUM(AX451:AX453)</f>
        <v>0</v>
      </c>
      <c r="BA459" s="9"/>
      <c r="BB459" s="9"/>
      <c r="BC459" s="9"/>
      <c r="BD459" s="83"/>
      <c r="BE459" s="9"/>
      <c r="BF459" s="9"/>
      <c r="BG459" s="9"/>
      <c r="BH459" s="9"/>
      <c r="BI459" s="9"/>
      <c r="BJ459" s="9"/>
      <c r="BK459" s="9"/>
    </row>
    <row r="460" spans="3:63" outlineLevel="1" x14ac:dyDescent="0.2">
      <c r="C460" s="85" t="s">
        <v>15</v>
      </c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35"/>
      <c r="P460" s="26"/>
      <c r="Q460" s="35"/>
      <c r="R460" s="26"/>
      <c r="T460" s="35"/>
      <c r="U460" s="26"/>
      <c r="V460" s="87"/>
      <c r="W460" s="87"/>
      <c r="X460" s="35"/>
      <c r="Y460" s="87"/>
      <c r="Z460" s="87"/>
      <c r="AA460" s="87"/>
      <c r="AB460" s="87"/>
      <c r="AC460" s="87"/>
      <c r="AD460" s="87"/>
      <c r="AE460" s="87"/>
      <c r="AF460" s="87"/>
      <c r="AG460" s="87"/>
      <c r="AH460" s="87"/>
      <c r="AI460" s="87"/>
      <c r="AJ460" s="87"/>
      <c r="AK460" s="87"/>
      <c r="AL460" s="87"/>
      <c r="AM460" s="87"/>
      <c r="AN460" s="87"/>
      <c r="AO460" s="87"/>
      <c r="AP460" s="87"/>
      <c r="AQ460" s="87"/>
      <c r="AR460" s="87"/>
      <c r="AS460" s="87"/>
      <c r="AT460" s="87"/>
      <c r="AU460" s="87"/>
      <c r="AV460" s="87"/>
      <c r="AW460" s="87"/>
      <c r="AX460" s="87"/>
      <c r="AY460" s="126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</row>
    <row r="461" spans="3:63" outlineLevel="1" x14ac:dyDescent="0.2">
      <c r="C461" s="85" t="s">
        <v>170</v>
      </c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35"/>
      <c r="P461" s="26"/>
      <c r="Q461" s="35"/>
      <c r="R461" s="26"/>
      <c r="T461" s="87">
        <f>SUM(T340,T382)</f>
        <v>14368</v>
      </c>
      <c r="U461" s="26"/>
      <c r="V461" s="87">
        <f t="shared" ref="V461:AP461" si="330">SUM(V340,V382)</f>
        <v>6832</v>
      </c>
      <c r="W461" s="87">
        <f t="shared" si="330"/>
        <v>7600</v>
      </c>
      <c r="X461" s="87">
        <f t="shared" si="330"/>
        <v>14241</v>
      </c>
      <c r="Y461" s="87">
        <f t="shared" si="330"/>
        <v>3804</v>
      </c>
      <c r="Z461" s="87">
        <f t="shared" si="330"/>
        <v>7988</v>
      </c>
      <c r="AA461" s="87">
        <f t="shared" si="330"/>
        <v>12859</v>
      </c>
      <c r="AB461" s="87">
        <f t="shared" si="330"/>
        <v>17200</v>
      </c>
      <c r="AC461" s="87">
        <f t="shared" si="330"/>
        <v>4139</v>
      </c>
      <c r="AD461" s="87">
        <f t="shared" si="330"/>
        <v>6854</v>
      </c>
      <c r="AE461" s="87">
        <f t="shared" si="330"/>
        <v>11372</v>
      </c>
      <c r="AF461" s="87">
        <f t="shared" si="330"/>
        <v>13749</v>
      </c>
      <c r="AG461" s="87">
        <f t="shared" si="330"/>
        <v>2761</v>
      </c>
      <c r="AH461" s="87">
        <f t="shared" si="330"/>
        <v>9927</v>
      </c>
      <c r="AI461" s="87">
        <f t="shared" si="330"/>
        <v>14894</v>
      </c>
      <c r="AJ461" s="87">
        <f t="shared" si="330"/>
        <v>21760</v>
      </c>
      <c r="AK461" s="87">
        <f t="shared" si="330"/>
        <v>589</v>
      </c>
      <c r="AL461" s="87">
        <f t="shared" si="330"/>
        <v>2097</v>
      </c>
      <c r="AM461" s="87">
        <f t="shared" si="330"/>
        <v>6040</v>
      </c>
      <c r="AN461" s="87">
        <f t="shared" si="330"/>
        <v>3832</v>
      </c>
      <c r="AO461" s="87">
        <f t="shared" si="330"/>
        <v>895</v>
      </c>
      <c r="AP461" s="87">
        <f t="shared" si="330"/>
        <v>3172</v>
      </c>
      <c r="AQ461" s="87">
        <f t="shared" ref="AQ461:AR461" si="331">SUM(AQ340,AQ382)</f>
        <v>1814</v>
      </c>
      <c r="AR461" s="87">
        <f t="shared" si="331"/>
        <v>2581</v>
      </c>
      <c r="AS461" s="87">
        <f t="shared" ref="AS461:AT461" si="332">SUM(AS340,AS382)</f>
        <v>-739</v>
      </c>
      <c r="AT461" s="87">
        <f t="shared" si="332"/>
        <v>647</v>
      </c>
      <c r="AU461" s="87">
        <f t="shared" ref="AU461:AV461" si="333">SUM(AU340,AU382)</f>
        <v>2636</v>
      </c>
      <c r="AV461" s="87">
        <f t="shared" si="333"/>
        <v>5970</v>
      </c>
      <c r="AW461" s="87">
        <f t="shared" ref="AW461:AX461" si="334">SUM(AW340,AW382)</f>
        <v>776</v>
      </c>
      <c r="AX461" s="87">
        <f t="shared" si="334"/>
        <v>814</v>
      </c>
      <c r="AY461" s="126"/>
      <c r="AZ461" s="130"/>
      <c r="BA461" s="15"/>
      <c r="BB461" s="15"/>
      <c r="BC461" s="15"/>
      <c r="BD461" s="9"/>
      <c r="BE461" s="9"/>
      <c r="BF461" s="9"/>
      <c r="BG461" s="9"/>
      <c r="BH461" s="9"/>
      <c r="BI461" s="9"/>
      <c r="BJ461" s="9"/>
      <c r="BK461" s="9"/>
    </row>
    <row r="462" spans="3:63" outlineLevel="1" x14ac:dyDescent="0.2">
      <c r="C462" s="88" t="s">
        <v>171</v>
      </c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35"/>
      <c r="P462" s="26"/>
      <c r="Q462" s="35"/>
      <c r="R462" s="26"/>
      <c r="T462" s="91">
        <f>T341+T383</f>
        <v>4126</v>
      </c>
      <c r="U462" s="26"/>
      <c r="V462" s="91">
        <f t="shared" ref="V462:AP462" si="335">V341+V383</f>
        <v>2158</v>
      </c>
      <c r="W462" s="91">
        <f t="shared" si="335"/>
        <v>3466</v>
      </c>
      <c r="X462" s="91">
        <f t="shared" si="335"/>
        <v>6208</v>
      </c>
      <c r="Y462" s="91">
        <f t="shared" si="335"/>
        <v>1618</v>
      </c>
      <c r="Z462" s="91">
        <f t="shared" si="335"/>
        <v>3814</v>
      </c>
      <c r="AA462" s="91">
        <f t="shared" si="335"/>
        <v>5429</v>
      </c>
      <c r="AB462" s="91">
        <f t="shared" si="335"/>
        <v>7925</v>
      </c>
      <c r="AC462" s="91">
        <f t="shared" si="335"/>
        <v>1983</v>
      </c>
      <c r="AD462" s="91">
        <f t="shared" si="335"/>
        <v>4180</v>
      </c>
      <c r="AE462" s="91">
        <f t="shared" si="335"/>
        <v>6429</v>
      </c>
      <c r="AF462" s="91">
        <f t="shared" si="335"/>
        <v>9314</v>
      </c>
      <c r="AG462" s="91">
        <f t="shared" si="335"/>
        <v>2498</v>
      </c>
      <c r="AH462" s="91">
        <f t="shared" si="335"/>
        <v>5361</v>
      </c>
      <c r="AI462" s="91">
        <f t="shared" si="335"/>
        <v>9302</v>
      </c>
      <c r="AJ462" s="91">
        <f t="shared" si="335"/>
        <v>13475</v>
      </c>
      <c r="AK462" s="91">
        <f t="shared" si="335"/>
        <v>3786</v>
      </c>
      <c r="AL462" s="91">
        <f t="shared" si="335"/>
        <v>7364</v>
      </c>
      <c r="AM462" s="91">
        <f t="shared" si="335"/>
        <v>10440</v>
      </c>
      <c r="AN462" s="91">
        <f t="shared" si="335"/>
        <v>18029</v>
      </c>
      <c r="AO462" s="91">
        <f t="shared" si="335"/>
        <v>5157</v>
      </c>
      <c r="AP462" s="91">
        <f t="shared" si="335"/>
        <v>8769</v>
      </c>
      <c r="AQ462" s="91">
        <f t="shared" ref="AQ462:AR462" si="336">AQ341+AQ383</f>
        <v>17903</v>
      </c>
      <c r="AR462" s="91">
        <f t="shared" si="336"/>
        <v>24165</v>
      </c>
      <c r="AS462" s="91">
        <f t="shared" ref="AS462:AT462" si="337">AS341+AS383</f>
        <v>6800</v>
      </c>
      <c r="AT462" s="91">
        <f t="shared" si="337"/>
        <v>15487</v>
      </c>
      <c r="AU462" s="91">
        <f t="shared" ref="AU462:AV462" si="338">AU341+AU383</f>
        <v>23958</v>
      </c>
      <c r="AV462" s="91">
        <f t="shared" si="338"/>
        <v>34692</v>
      </c>
      <c r="AW462" s="91">
        <f t="shared" ref="AW462:AX462" si="339">AW341+AW383</f>
        <v>9425</v>
      </c>
      <c r="AX462" s="91">
        <f t="shared" si="339"/>
        <v>20635</v>
      </c>
      <c r="AY462" s="130"/>
      <c r="AZ462" s="130"/>
      <c r="BA462" s="15"/>
      <c r="BB462" s="15"/>
      <c r="BC462" s="15"/>
      <c r="BD462" s="9"/>
      <c r="BE462" s="9"/>
      <c r="BF462" s="9"/>
      <c r="BG462" s="9"/>
      <c r="BH462" s="9"/>
      <c r="BI462" s="9"/>
      <c r="BJ462" s="9"/>
      <c r="BK462" s="9"/>
    </row>
    <row r="463" spans="3:63" outlineLevel="1" x14ac:dyDescent="0.2">
      <c r="C463" s="88" t="s">
        <v>172</v>
      </c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35"/>
      <c r="P463" s="26"/>
      <c r="Q463" s="35"/>
      <c r="R463" s="26"/>
      <c r="T463" s="91">
        <f>T342+T384</f>
        <v>-444</v>
      </c>
      <c r="U463" s="26"/>
      <c r="V463" s="91">
        <f t="shared" ref="V463:AP463" si="340">V342+V384</f>
        <v>300</v>
      </c>
      <c r="W463" s="91">
        <f t="shared" si="340"/>
        <v>3522</v>
      </c>
      <c r="X463" s="91">
        <f t="shared" si="340"/>
        <v>-452</v>
      </c>
      <c r="Y463" s="91">
        <f t="shared" si="340"/>
        <v>-109</v>
      </c>
      <c r="Z463" s="91">
        <f t="shared" si="340"/>
        <v>-55</v>
      </c>
      <c r="AA463" s="91">
        <f t="shared" si="340"/>
        <v>-246</v>
      </c>
      <c r="AB463" s="91">
        <f t="shared" si="340"/>
        <v>-176</v>
      </c>
      <c r="AC463" s="91">
        <f t="shared" si="340"/>
        <v>-105</v>
      </c>
      <c r="AD463" s="91">
        <f t="shared" si="340"/>
        <v>106</v>
      </c>
      <c r="AE463" s="91">
        <f t="shared" si="340"/>
        <v>537</v>
      </c>
      <c r="AF463" s="91">
        <f t="shared" si="340"/>
        <v>736</v>
      </c>
      <c r="AG463" s="91">
        <f t="shared" si="340"/>
        <v>301</v>
      </c>
      <c r="AH463" s="91">
        <f t="shared" si="340"/>
        <v>-495</v>
      </c>
      <c r="AI463" s="91">
        <f t="shared" si="340"/>
        <v>-72</v>
      </c>
      <c r="AJ463" s="91">
        <f t="shared" si="340"/>
        <v>248</v>
      </c>
      <c r="AK463" s="91">
        <f t="shared" si="340"/>
        <v>-286</v>
      </c>
      <c r="AL463" s="91">
        <f t="shared" si="340"/>
        <v>777</v>
      </c>
      <c r="AM463" s="91">
        <f t="shared" si="340"/>
        <v>917</v>
      </c>
      <c r="AN463" s="91">
        <f t="shared" si="340"/>
        <v>2949</v>
      </c>
      <c r="AO463" s="91">
        <f t="shared" si="340"/>
        <v>247</v>
      </c>
      <c r="AP463" s="91">
        <f t="shared" si="340"/>
        <v>506</v>
      </c>
      <c r="AQ463" s="91">
        <f t="shared" ref="AQ463:AR463" si="341">AQ342+AQ384</f>
        <v>-207</v>
      </c>
      <c r="AR463" s="91">
        <f t="shared" si="341"/>
        <v>76</v>
      </c>
      <c r="AS463" s="91">
        <f t="shared" ref="AS463:AT463" si="342">AS342+AS384</f>
        <v>-672</v>
      </c>
      <c r="AT463" s="91">
        <f t="shared" si="342"/>
        <v>-461</v>
      </c>
      <c r="AU463" s="91">
        <f t="shared" ref="AU463:AV463" si="343">AU342+AU384</f>
        <v>-1289</v>
      </c>
      <c r="AV463" s="91">
        <f t="shared" si="343"/>
        <v>-1211</v>
      </c>
      <c r="AW463" s="91">
        <f t="shared" ref="AW463:AX463" si="344">AW342+AW384</f>
        <v>-1407</v>
      </c>
      <c r="AX463" s="91">
        <f t="shared" si="344"/>
        <v>-1017</v>
      </c>
      <c r="AY463" s="126"/>
      <c r="BA463" s="15"/>
      <c r="BB463" s="15"/>
      <c r="BC463" s="15"/>
      <c r="BD463" s="83"/>
      <c r="BE463" s="9"/>
      <c r="BF463" s="9"/>
      <c r="BG463" s="9"/>
      <c r="BH463" s="9"/>
      <c r="BI463" s="9"/>
      <c r="BJ463" s="9"/>
      <c r="BK463" s="9"/>
    </row>
    <row r="464" spans="3:63" outlineLevel="1" x14ac:dyDescent="0.2">
      <c r="C464" s="88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35"/>
      <c r="P464" s="26"/>
      <c r="Q464" s="35"/>
      <c r="R464" s="26"/>
      <c r="T464" s="302">
        <f>SUM(T461:T463)-T109</f>
        <v>0</v>
      </c>
      <c r="U464" s="26"/>
      <c r="V464" s="302">
        <f t="shared" ref="V464:AX464" si="345">SUM(V461:V463)-V109</f>
        <v>0</v>
      </c>
      <c r="W464" s="302">
        <f t="shared" si="345"/>
        <v>0</v>
      </c>
      <c r="X464" s="302">
        <f t="shared" si="345"/>
        <v>0</v>
      </c>
      <c r="Y464" s="302">
        <f t="shared" si="345"/>
        <v>0</v>
      </c>
      <c r="Z464" s="302">
        <f t="shared" si="345"/>
        <v>0</v>
      </c>
      <c r="AA464" s="302">
        <f t="shared" si="345"/>
        <v>0</v>
      </c>
      <c r="AB464" s="302">
        <f t="shared" si="345"/>
        <v>0</v>
      </c>
      <c r="AC464" s="302">
        <f t="shared" si="345"/>
        <v>0</v>
      </c>
      <c r="AD464" s="302">
        <f t="shared" si="345"/>
        <v>0</v>
      </c>
      <c r="AE464" s="302">
        <f t="shared" si="345"/>
        <v>0</v>
      </c>
      <c r="AF464" s="302">
        <f t="shared" si="345"/>
        <v>0</v>
      </c>
      <c r="AG464" s="302">
        <f t="shared" si="345"/>
        <v>0</v>
      </c>
      <c r="AH464" s="302">
        <f t="shared" si="345"/>
        <v>0</v>
      </c>
      <c r="AI464" s="302">
        <f t="shared" si="345"/>
        <v>0</v>
      </c>
      <c r="AJ464" s="302">
        <f t="shared" si="345"/>
        <v>0</v>
      </c>
      <c r="AK464" s="302">
        <f t="shared" si="345"/>
        <v>0</v>
      </c>
      <c r="AL464" s="302">
        <f t="shared" si="345"/>
        <v>0</v>
      </c>
      <c r="AM464" s="302">
        <f t="shared" si="345"/>
        <v>0</v>
      </c>
      <c r="AN464" s="302">
        <f t="shared" si="345"/>
        <v>0</v>
      </c>
      <c r="AO464" s="302">
        <f t="shared" si="345"/>
        <v>0</v>
      </c>
      <c r="AP464" s="302">
        <f t="shared" si="345"/>
        <v>0</v>
      </c>
      <c r="AQ464" s="302">
        <f t="shared" si="345"/>
        <v>0</v>
      </c>
      <c r="AR464" s="302">
        <f t="shared" si="345"/>
        <v>0</v>
      </c>
      <c r="AS464" s="302">
        <f t="shared" si="345"/>
        <v>0</v>
      </c>
      <c r="AT464" s="302">
        <f t="shared" si="345"/>
        <v>0</v>
      </c>
      <c r="AU464" s="302">
        <f t="shared" si="345"/>
        <v>0</v>
      </c>
      <c r="AV464" s="302">
        <f t="shared" si="345"/>
        <v>0</v>
      </c>
      <c r="AW464" s="302">
        <f t="shared" si="345"/>
        <v>0</v>
      </c>
      <c r="AX464" s="302">
        <f t="shared" si="345"/>
        <v>0</v>
      </c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</row>
    <row r="465" spans="2:63" outlineLevel="1" x14ac:dyDescent="0.2">
      <c r="C465" s="85" t="s">
        <v>476</v>
      </c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35"/>
      <c r="P465" s="26"/>
      <c r="Q465" s="35"/>
      <c r="R465" s="26"/>
      <c r="T465" s="92"/>
      <c r="U465" s="26"/>
      <c r="V465" s="91"/>
      <c r="W465" s="91"/>
      <c r="X465" s="298"/>
      <c r="Y465" s="91"/>
      <c r="Z465" s="91"/>
      <c r="AA465" s="91"/>
      <c r="AB465" s="298"/>
      <c r="AC465" s="91"/>
      <c r="AD465" s="91"/>
      <c r="AE465" s="91"/>
      <c r="AF465" s="298"/>
      <c r="AG465" s="91"/>
      <c r="AH465" s="91"/>
      <c r="AI465" s="91"/>
      <c r="AJ465" s="298"/>
      <c r="AK465" s="91"/>
      <c r="AL465" s="91"/>
      <c r="AM465" s="91"/>
      <c r="AN465" s="91"/>
      <c r="AO465" s="91"/>
      <c r="AP465" s="91"/>
      <c r="AQ465" s="91"/>
      <c r="AR465" s="91"/>
      <c r="AS465" s="91"/>
      <c r="AT465" s="91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</row>
    <row r="466" spans="2:63" outlineLevel="1" x14ac:dyDescent="0.2">
      <c r="C466" s="85" t="s">
        <v>170</v>
      </c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35"/>
      <c r="P466" s="26"/>
      <c r="Q466" s="35"/>
      <c r="R466" s="26"/>
      <c r="T466" s="92"/>
      <c r="U466" s="26"/>
      <c r="V466" s="91"/>
      <c r="W466" s="91"/>
      <c r="X466" s="298"/>
      <c r="Y466" s="91"/>
      <c r="Z466" s="91"/>
      <c r="AA466" s="91"/>
      <c r="AB466" s="298"/>
      <c r="AC466" s="91"/>
      <c r="AD466" s="91"/>
      <c r="AE466" s="91"/>
      <c r="AF466" s="298"/>
      <c r="AG466" s="91"/>
      <c r="AH466" s="91"/>
      <c r="AI466" s="91"/>
      <c r="AJ466" s="298"/>
      <c r="AK466" s="91"/>
      <c r="AL466" s="91"/>
      <c r="AM466" s="91"/>
      <c r="AN466" s="91">
        <f t="shared" ref="AN466" si="346">AN336+AN340+AN364</f>
        <v>161153</v>
      </c>
      <c r="AO466" s="91">
        <f t="shared" ref="AO466:AP466" si="347">AO336+AO340+AO364</f>
        <v>43389</v>
      </c>
      <c r="AP466" s="91">
        <f t="shared" si="347"/>
        <v>87029</v>
      </c>
      <c r="AQ466" s="91">
        <f>AQ336+AQ340+AQ364</f>
        <v>139401</v>
      </c>
      <c r="AR466" s="91">
        <f>AR336+AR340+AR364</f>
        <v>200630</v>
      </c>
      <c r="AS466" s="91">
        <f>AS336+AS340+AS364</f>
        <v>61301</v>
      </c>
      <c r="AT466" s="91">
        <f t="shared" ref="AT466" si="348">AT336+AT340+AT364</f>
        <v>146617</v>
      </c>
      <c r="AU466" s="91">
        <f t="shared" ref="AU466:AV468" si="349">AU336+AU340+AU364</f>
        <v>244938</v>
      </c>
      <c r="AV466" s="91">
        <f>AV336+AV340+AV364</f>
        <v>347162</v>
      </c>
      <c r="AW466" s="91">
        <f>AW336+AW340+AW364</f>
        <v>116153</v>
      </c>
      <c r="AX466" s="91">
        <f>AX336+AX340+AX364</f>
        <v>231614</v>
      </c>
      <c r="AY466" s="130"/>
      <c r="AZ466" s="126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</row>
    <row r="467" spans="2:63" outlineLevel="1" x14ac:dyDescent="0.2">
      <c r="C467" s="88" t="s">
        <v>171</v>
      </c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35"/>
      <c r="P467" s="26"/>
      <c r="Q467" s="35"/>
      <c r="R467" s="26"/>
      <c r="T467" s="92"/>
      <c r="U467" s="26"/>
      <c r="V467" s="91"/>
      <c r="W467" s="91"/>
      <c r="X467" s="298"/>
      <c r="Y467" s="91"/>
      <c r="Z467" s="91"/>
      <c r="AA467" s="91"/>
      <c r="AB467" s="298"/>
      <c r="AC467" s="91"/>
      <c r="AD467" s="91"/>
      <c r="AE467" s="91"/>
      <c r="AF467" s="298"/>
      <c r="AG467" s="91"/>
      <c r="AH467" s="91"/>
      <c r="AI467" s="91"/>
      <c r="AJ467" s="298"/>
      <c r="AK467" s="91"/>
      <c r="AL467" s="91"/>
      <c r="AM467" s="91"/>
      <c r="AN467" s="91">
        <f t="shared" ref="AN467" si="350">AN337+AN341+AN365</f>
        <v>104023</v>
      </c>
      <c r="AO467" s="91">
        <f t="shared" ref="AO467:AP467" si="351">AO337+AO341+AO365</f>
        <v>26867</v>
      </c>
      <c r="AP467" s="91">
        <f t="shared" si="351"/>
        <v>59116</v>
      </c>
      <c r="AQ467" s="91">
        <f>AQ337+AQ341+AQ365</f>
        <v>91620</v>
      </c>
      <c r="AR467" s="91">
        <f t="shared" ref="AR467:AS467" si="352">AR337+AR341+AR365</f>
        <v>139891</v>
      </c>
      <c r="AS467" s="91">
        <f t="shared" si="352"/>
        <v>53110</v>
      </c>
      <c r="AT467" s="91">
        <f t="shared" ref="AT467" si="353">AT337+AT341+AT365</f>
        <v>112381</v>
      </c>
      <c r="AU467" s="91">
        <f t="shared" si="349"/>
        <v>177836</v>
      </c>
      <c r="AV467" s="91">
        <f t="shared" si="349"/>
        <v>256543</v>
      </c>
      <c r="AW467" s="91">
        <f t="shared" ref="AW467" si="354">AW337+AW341+AW365</f>
        <v>87485</v>
      </c>
      <c r="AX467" s="91">
        <f>AX337+AX341+AX365</f>
        <v>188466</v>
      </c>
      <c r="AY467" s="130"/>
      <c r="AZ467" s="126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</row>
    <row r="468" spans="2:63" outlineLevel="1" x14ac:dyDescent="0.2">
      <c r="C468" s="88" t="s">
        <v>172</v>
      </c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35"/>
      <c r="P468" s="26"/>
      <c r="Q468" s="35"/>
      <c r="R468" s="26"/>
      <c r="T468" s="92"/>
      <c r="U468" s="26"/>
      <c r="V468" s="91"/>
      <c r="W468" s="91"/>
      <c r="X468" s="298"/>
      <c r="Y468" s="91"/>
      <c r="Z468" s="91"/>
      <c r="AA468" s="91"/>
      <c r="AB468" s="298"/>
      <c r="AC468" s="91"/>
      <c r="AD468" s="91"/>
      <c r="AE468" s="91"/>
      <c r="AF468" s="298"/>
      <c r="AG468" s="91"/>
      <c r="AH468" s="91"/>
      <c r="AI468" s="91"/>
      <c r="AJ468" s="298"/>
      <c r="AK468" s="91"/>
      <c r="AL468" s="91"/>
      <c r="AM468" s="91"/>
      <c r="AN468" s="91">
        <f>AN338+AN342+AN366-1</f>
        <v>42268</v>
      </c>
      <c r="AO468" s="91">
        <f t="shared" ref="AO468:AP468" si="355">AO338+AO342+AO366</f>
        <v>9143</v>
      </c>
      <c r="AP468" s="91">
        <f t="shared" si="355"/>
        <v>16538</v>
      </c>
      <c r="AQ468" s="91">
        <f>AQ338+AQ342+AQ366</f>
        <v>31775</v>
      </c>
      <c r="AR468" s="91">
        <f t="shared" ref="AR468:AS468" si="356">AR338+AR342+AR366</f>
        <v>52385</v>
      </c>
      <c r="AS468" s="91">
        <f t="shared" si="356"/>
        <v>30323</v>
      </c>
      <c r="AT468" s="91">
        <f t="shared" ref="AT468" si="357">AT338+AT342+AT366</f>
        <v>59803</v>
      </c>
      <c r="AU468" s="91">
        <f t="shared" si="349"/>
        <v>89197</v>
      </c>
      <c r="AV468" s="91">
        <f t="shared" si="349"/>
        <v>118272</v>
      </c>
      <c r="AW468" s="91">
        <f t="shared" ref="AW468" si="358">AW338+AW342+AW366</f>
        <v>24756</v>
      </c>
      <c r="AX468" s="91">
        <f>AX338+AX342+AX366</f>
        <v>40842</v>
      </c>
      <c r="AY468" s="130"/>
      <c r="AZ468" s="126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</row>
    <row r="469" spans="2:63" outlineLevel="1" x14ac:dyDescent="0.2">
      <c r="C469" s="88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35"/>
      <c r="P469" s="26"/>
      <c r="Q469" s="35"/>
      <c r="R469" s="26"/>
      <c r="T469" s="92"/>
      <c r="U469" s="26"/>
      <c r="V469" s="91"/>
      <c r="W469" s="91"/>
      <c r="X469" s="298"/>
      <c r="Y469" s="91"/>
      <c r="Z469" s="91"/>
      <c r="AA469" s="91"/>
      <c r="AB469" s="298"/>
      <c r="AC469" s="91"/>
      <c r="AD469" s="91"/>
      <c r="AE469" s="91"/>
      <c r="AF469" s="298"/>
      <c r="AG469" s="91"/>
      <c r="AH469" s="91"/>
      <c r="AI469" s="91"/>
      <c r="AJ469" s="298"/>
      <c r="AK469" s="91"/>
      <c r="AL469" s="91"/>
      <c r="AM469" s="91"/>
      <c r="AN469" s="302">
        <f t="shared" ref="AN469:AO469" si="359">SUM(AN466:AN468)-AN178</f>
        <v>0</v>
      </c>
      <c r="AO469" s="302">
        <f t="shared" si="359"/>
        <v>0</v>
      </c>
      <c r="AP469" s="302">
        <f t="shared" ref="AP469" si="360">SUM(AP466:AP468)-AP178</f>
        <v>0</v>
      </c>
      <c r="AQ469" s="302">
        <f t="shared" ref="AQ469:AW469" si="361">SUM(AQ466:AQ468)-AQ178</f>
        <v>0</v>
      </c>
      <c r="AR469" s="302">
        <f t="shared" si="361"/>
        <v>0</v>
      </c>
      <c r="AS469" s="302">
        <f>SUM(AS466:AS468)-AS178</f>
        <v>0</v>
      </c>
      <c r="AT469" s="302">
        <f t="shared" si="361"/>
        <v>0</v>
      </c>
      <c r="AU469" s="302">
        <f t="shared" si="361"/>
        <v>0</v>
      </c>
      <c r="AV469" s="302">
        <f t="shared" si="361"/>
        <v>0</v>
      </c>
      <c r="AW469" s="302">
        <f t="shared" si="361"/>
        <v>0</v>
      </c>
      <c r="AX469" s="302">
        <f>SUM(AX466:AX468)-AX178</f>
        <v>0</v>
      </c>
      <c r="AY469" s="130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</row>
    <row r="470" spans="2:63" outlineLevel="1" x14ac:dyDescent="0.2">
      <c r="C470" s="85" t="s">
        <v>210</v>
      </c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35"/>
      <c r="P470" s="26"/>
      <c r="Q470" s="35"/>
      <c r="R470" s="26"/>
      <c r="T470" s="92"/>
      <c r="U470" s="26"/>
      <c r="V470" s="91"/>
      <c r="W470" s="91"/>
      <c r="X470" s="92"/>
      <c r="Y470" s="91"/>
      <c r="Z470" s="91"/>
      <c r="AA470" s="91"/>
      <c r="AB470" s="91"/>
      <c r="AC470" s="91"/>
      <c r="AD470" s="91"/>
      <c r="AE470" s="91"/>
      <c r="AF470" s="91"/>
      <c r="AG470" s="91"/>
      <c r="AH470" s="91"/>
      <c r="AI470" s="91"/>
      <c r="AJ470" s="91"/>
      <c r="AK470" s="91"/>
      <c r="AL470" s="91"/>
      <c r="AM470" s="91"/>
      <c r="AN470" s="91"/>
      <c r="AO470" s="91"/>
      <c r="AP470" s="91"/>
      <c r="AQ470" s="91"/>
      <c r="AR470" s="91"/>
      <c r="AS470" s="91"/>
      <c r="AT470" s="91"/>
      <c r="AU470" s="91"/>
      <c r="AV470" s="91"/>
      <c r="AW470" s="91"/>
      <c r="AX470" s="91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</row>
    <row r="471" spans="2:63" outlineLevel="1" x14ac:dyDescent="0.2">
      <c r="C471" s="85" t="s">
        <v>170</v>
      </c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35"/>
      <c r="P471" s="26"/>
      <c r="Q471" s="35"/>
      <c r="R471" s="26"/>
      <c r="T471" s="17"/>
      <c r="U471" s="26"/>
      <c r="V471" s="17"/>
      <c r="W471" s="17"/>
      <c r="X471" s="17">
        <v>-23522.831260000006</v>
      </c>
      <c r="Y471" s="17"/>
      <c r="Z471" s="17"/>
      <c r="AA471" s="17"/>
      <c r="AB471" s="17">
        <v>-27834.249870570417</v>
      </c>
      <c r="AC471" s="17">
        <v>-6611.0746530761162</v>
      </c>
      <c r="AD471" s="17">
        <v>-12582.831861237926</v>
      </c>
      <c r="AE471" s="17">
        <v>-18949.138678699495</v>
      </c>
      <c r="AF471" s="248">
        <v>-26006.7629641942</v>
      </c>
      <c r="AG471" s="248">
        <v>-7562.288440080084</v>
      </c>
      <c r="AH471" s="248">
        <v>-18764.931639893653</v>
      </c>
      <c r="AI471" s="248">
        <v>-18764.931639893653</v>
      </c>
      <c r="AJ471" s="248">
        <v>-41558.346963035146</v>
      </c>
      <c r="AK471" s="248"/>
      <c r="AL471" s="248"/>
      <c r="AM471" s="248"/>
      <c r="AN471" s="248">
        <v>-49036.595560110545</v>
      </c>
      <c r="AO471" s="248"/>
      <c r="AP471" s="248">
        <v>-27101.157391187236</v>
      </c>
      <c r="AQ471" s="248">
        <v>-41645.480338473724</v>
      </c>
      <c r="AR471" s="248">
        <v>-59050.585466137549</v>
      </c>
      <c r="AS471" s="248">
        <v>-16164.62784968181</v>
      </c>
      <c r="AT471" s="248">
        <f>AT135-SUM(AT472:AT473)</f>
        <v>-36325.478661988644</v>
      </c>
      <c r="AU471" s="248">
        <f>AU135-SUM(AU472:AU473)</f>
        <v>-56597.614867776538</v>
      </c>
      <c r="AV471" s="248">
        <v>-82964.768485373279</v>
      </c>
      <c r="AW471" s="248">
        <v>-21757.179775932309</v>
      </c>
      <c r="AX471" s="248">
        <f>AX135-SUM(AX472:AX473)</f>
        <v>-44276.464666311447</v>
      </c>
      <c r="AY471" s="19"/>
      <c r="AZ471" s="4" t="s">
        <v>441</v>
      </c>
      <c r="BA471" s="118"/>
      <c r="BB471" s="118"/>
      <c r="BC471" s="118"/>
      <c r="BD471" s="9"/>
      <c r="BE471" s="9"/>
      <c r="BF471" s="9"/>
      <c r="BG471" s="9"/>
      <c r="BH471" s="9"/>
      <c r="BI471" s="9"/>
      <c r="BJ471" s="9"/>
      <c r="BK471" s="9"/>
    </row>
    <row r="472" spans="2:63" outlineLevel="1" x14ac:dyDescent="0.2">
      <c r="C472" s="85" t="s">
        <v>171</v>
      </c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35"/>
      <c r="P472" s="26"/>
      <c r="Q472" s="35"/>
      <c r="R472" s="26"/>
      <c r="T472" s="17"/>
      <c r="U472" s="26"/>
      <c r="V472" s="17"/>
      <c r="W472" s="17"/>
      <c r="X472" s="17">
        <v>-6200.467549</v>
      </c>
      <c r="Y472" s="17"/>
      <c r="Z472" s="17"/>
      <c r="AA472" s="17"/>
      <c r="AB472" s="17">
        <v>-6988.79995505637</v>
      </c>
      <c r="AC472" s="17">
        <v>-1897.4678956587791</v>
      </c>
      <c r="AD472" s="17">
        <v>-4427.3891671376596</v>
      </c>
      <c r="AE472" s="17">
        <v>-6773.6455138777919</v>
      </c>
      <c r="AF472" s="248">
        <v>-9650.3128476970705</v>
      </c>
      <c r="AG472" s="248">
        <v>-2585.5421546516268</v>
      </c>
      <c r="AH472" s="248">
        <v>-5520.9568680756238</v>
      </c>
      <c r="AI472" s="248">
        <v>-5520.9568680756238</v>
      </c>
      <c r="AJ472" s="248">
        <v>-13309.7229765709</v>
      </c>
      <c r="AK472" s="248"/>
      <c r="AL472" s="248"/>
      <c r="AM472" s="248"/>
      <c r="AN472" s="248">
        <v>-15580.434890487306</v>
      </c>
      <c r="AO472" s="248"/>
      <c r="AP472" s="248">
        <v>-10292.535717296754</v>
      </c>
      <c r="AQ472" s="248">
        <v>-16289.801363762115</v>
      </c>
      <c r="AR472" s="248">
        <v>-22608.97490554455</v>
      </c>
      <c r="AS472" s="248">
        <v>-6695.0750619708288</v>
      </c>
      <c r="AT472" s="248">
        <v>-17308.705767394506</v>
      </c>
      <c r="AU472" s="248">
        <v>-27837.398037524745</v>
      </c>
      <c r="AV472" s="248">
        <v>-39671.462933856259</v>
      </c>
      <c r="AW472" s="248">
        <v>-11826.625846365941</v>
      </c>
      <c r="AX472" s="248">
        <v>-22597.896656026085</v>
      </c>
      <c r="AY472" s="19"/>
      <c r="AZ472" s="4" t="s">
        <v>441</v>
      </c>
      <c r="BA472" s="118"/>
      <c r="BB472" s="118"/>
      <c r="BC472" s="118"/>
      <c r="BD472" s="9"/>
      <c r="BE472" s="9"/>
      <c r="BF472" s="9"/>
      <c r="BG472" s="9"/>
      <c r="BH472" s="9"/>
      <c r="BI472" s="9"/>
      <c r="BJ472" s="9"/>
      <c r="BK472" s="9"/>
    </row>
    <row r="473" spans="2:63" outlineLevel="1" x14ac:dyDescent="0.2">
      <c r="C473" s="86" t="s">
        <v>172</v>
      </c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35"/>
      <c r="P473" s="26"/>
      <c r="Q473" s="35"/>
      <c r="R473" s="26"/>
      <c r="T473" s="93"/>
      <c r="U473" s="26"/>
      <c r="V473" s="93"/>
      <c r="W473" s="93"/>
      <c r="X473" s="93">
        <v>-5008.1611910000001</v>
      </c>
      <c r="Y473" s="93"/>
      <c r="Z473" s="93"/>
      <c r="AA473" s="93"/>
      <c r="AB473" s="93">
        <v>-4448.800847647708</v>
      </c>
      <c r="AC473" s="93">
        <v>-1538.8044512651018</v>
      </c>
      <c r="AD473" s="93">
        <v>-3789.0669716244088</v>
      </c>
      <c r="AE473" s="93">
        <v>-5461.8918074227122</v>
      </c>
      <c r="AF473" s="249">
        <v>-7497.6041881087231</v>
      </c>
      <c r="AG473" s="249">
        <v>-2416.7574052682858</v>
      </c>
      <c r="AH473" s="249">
        <v>-5561.7214920307288</v>
      </c>
      <c r="AI473" s="249">
        <v>-5561.7214920307288</v>
      </c>
      <c r="AJ473" s="249">
        <v>-9902.0420603939619</v>
      </c>
      <c r="AK473" s="249"/>
      <c r="AL473" s="249"/>
      <c r="AM473" s="249"/>
      <c r="AN473" s="249">
        <v>-11237.381549402151</v>
      </c>
      <c r="AO473" s="249"/>
      <c r="AP473" s="249">
        <v>-6231.4918915160151</v>
      </c>
      <c r="AQ473" s="249">
        <v>-7946.0442977641587</v>
      </c>
      <c r="AR473" s="249">
        <v>-12820.929628317925</v>
      </c>
      <c r="AS473" s="249">
        <v>-3824.8480883473653</v>
      </c>
      <c r="AT473" s="249">
        <v>-4759.8155706168463</v>
      </c>
      <c r="AU473" s="249">
        <v>-7932.9870946987157</v>
      </c>
      <c r="AV473" s="249">
        <v>-9495.261545340556</v>
      </c>
      <c r="AW473" s="249">
        <v>-4999.9292852685176</v>
      </c>
      <c r="AX473" s="249">
        <v>-9744.6386776624695</v>
      </c>
      <c r="AY473" s="126"/>
      <c r="AZ473" s="4" t="s">
        <v>441</v>
      </c>
      <c r="BA473" s="118"/>
      <c r="BB473" s="118"/>
      <c r="BC473" s="118"/>
      <c r="BD473" s="83"/>
      <c r="BE473" s="9"/>
      <c r="BF473" s="9"/>
      <c r="BG473" s="9"/>
      <c r="BH473" s="9"/>
      <c r="BI473" s="9"/>
      <c r="BJ473" s="9"/>
      <c r="BK473" s="9"/>
    </row>
    <row r="474" spans="2:63" x14ac:dyDescent="0.2">
      <c r="C474" s="88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35"/>
      <c r="P474" s="26"/>
      <c r="Q474" s="35"/>
      <c r="R474" s="26"/>
      <c r="T474" s="26"/>
      <c r="U474" s="26"/>
      <c r="V474" s="91"/>
      <c r="W474" s="92"/>
      <c r="X474" s="92"/>
      <c r="Y474" s="91"/>
      <c r="Z474" s="91"/>
      <c r="AA474" s="91"/>
      <c r="AB474" s="92"/>
      <c r="AC474" s="91"/>
      <c r="AD474" s="91"/>
      <c r="AE474" s="91"/>
      <c r="AF474" s="91"/>
      <c r="AG474" s="91"/>
      <c r="AH474" s="91"/>
      <c r="AI474" s="91"/>
      <c r="AJ474" s="91"/>
      <c r="AK474" s="91"/>
      <c r="AL474" s="91"/>
      <c r="AM474" s="91"/>
      <c r="AN474" s="91"/>
      <c r="AO474" s="91"/>
      <c r="AP474" s="91"/>
      <c r="AQ474" s="91"/>
      <c r="AR474" s="324"/>
      <c r="AS474" s="325"/>
      <c r="AT474" s="248"/>
      <c r="AU474" s="248"/>
      <c r="AV474" s="324"/>
      <c r="AW474" s="324"/>
      <c r="AX474" s="324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</row>
    <row r="475" spans="2:63" x14ac:dyDescent="0.2">
      <c r="B475" s="42">
        <v>6</v>
      </c>
      <c r="C475" s="41" t="s">
        <v>187</v>
      </c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</row>
    <row r="476" spans="2:63" x14ac:dyDescent="0.2">
      <c r="C476" s="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35"/>
      <c r="P476" s="26"/>
      <c r="Q476" s="35"/>
      <c r="R476" s="26"/>
      <c r="T476" s="26"/>
      <c r="U476" s="26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</row>
    <row r="477" spans="2:63" x14ac:dyDescent="0.2">
      <c r="C477" s="6" t="s">
        <v>13</v>
      </c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>
        <f>P107</f>
        <v>10304</v>
      </c>
      <c r="Q477" s="77">
        <f>Q107</f>
        <v>6544</v>
      </c>
      <c r="R477" s="77">
        <f>R107</f>
        <v>13921</v>
      </c>
      <c r="S477" s="77"/>
      <c r="T477" s="77">
        <f>T107</f>
        <v>20282</v>
      </c>
      <c r="U477" s="77">
        <f>SUM(U478:U488)</f>
        <v>4610</v>
      </c>
      <c r="V477" s="77">
        <f>V107</f>
        <v>11072</v>
      </c>
      <c r="W477" s="77">
        <f>W107</f>
        <v>17784</v>
      </c>
      <c r="X477" s="77">
        <f t="shared" ref="X477:AG477" si="362">X107</f>
        <v>24535</v>
      </c>
      <c r="Y477" s="77">
        <f t="shared" si="362"/>
        <v>6835</v>
      </c>
      <c r="Z477" s="77">
        <f t="shared" si="362"/>
        <v>15208</v>
      </c>
      <c r="AA477" s="77">
        <f t="shared" si="362"/>
        <v>23743</v>
      </c>
      <c r="AB477" s="77">
        <f t="shared" si="362"/>
        <v>32639</v>
      </c>
      <c r="AC477" s="77">
        <f t="shared" si="362"/>
        <v>7819</v>
      </c>
      <c r="AD477" s="77">
        <f t="shared" si="362"/>
        <v>14692</v>
      </c>
      <c r="AE477" s="77">
        <f t="shared" si="362"/>
        <v>24076</v>
      </c>
      <c r="AF477" s="77">
        <f t="shared" si="362"/>
        <v>31988</v>
      </c>
      <c r="AG477" s="77">
        <f t="shared" si="362"/>
        <v>8059</v>
      </c>
      <c r="AH477" s="77">
        <f>AH107</f>
        <v>19591</v>
      </c>
      <c r="AI477" s="77">
        <f t="shared" ref="AI477:AX477" si="363">AI107</f>
        <v>31122</v>
      </c>
      <c r="AJ477" s="77">
        <f t="shared" si="363"/>
        <v>45495</v>
      </c>
      <c r="AK477" s="77">
        <f t="shared" si="363"/>
        <v>7562</v>
      </c>
      <c r="AL477" s="77">
        <f t="shared" si="363"/>
        <v>15418</v>
      </c>
      <c r="AM477" s="77">
        <f t="shared" si="363"/>
        <v>24524</v>
      </c>
      <c r="AN477" s="77">
        <f t="shared" si="363"/>
        <v>34230</v>
      </c>
      <c r="AO477" s="77">
        <f t="shared" si="363"/>
        <v>8503</v>
      </c>
      <c r="AP477" s="77">
        <f t="shared" si="363"/>
        <v>17138</v>
      </c>
      <c r="AQ477" s="77">
        <f t="shared" si="363"/>
        <v>26446</v>
      </c>
      <c r="AR477" s="77">
        <f t="shared" si="363"/>
        <v>34866</v>
      </c>
      <c r="AS477" s="77">
        <f t="shared" si="363"/>
        <v>8580</v>
      </c>
      <c r="AT477" s="77">
        <f t="shared" si="363"/>
        <v>21296</v>
      </c>
      <c r="AU477" s="77">
        <f t="shared" si="363"/>
        <v>38451</v>
      </c>
      <c r="AV477" s="77">
        <f t="shared" si="363"/>
        <v>48610</v>
      </c>
      <c r="AW477" s="77">
        <f t="shared" si="363"/>
        <v>12107</v>
      </c>
      <c r="AX477" s="77">
        <f t="shared" si="363"/>
        <v>26561</v>
      </c>
      <c r="BA477" s="312"/>
      <c r="BB477" s="9"/>
      <c r="BC477" s="9"/>
      <c r="BD477" s="9"/>
      <c r="BE477" s="9"/>
      <c r="BF477" s="9"/>
      <c r="BG477" s="9"/>
      <c r="BH477" s="9"/>
      <c r="BI477" s="9"/>
      <c r="BJ477" s="9"/>
      <c r="BK477" s="9"/>
    </row>
    <row r="478" spans="2:63" x14ac:dyDescent="0.2">
      <c r="C478" s="6" t="s">
        <v>191</v>
      </c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>
        <v>683</v>
      </c>
      <c r="V478" s="73">
        <v>1453</v>
      </c>
      <c r="W478" s="73">
        <v>2577</v>
      </c>
      <c r="X478" s="73">
        <v>3227</v>
      </c>
      <c r="Y478" s="73">
        <v>660</v>
      </c>
      <c r="Z478" s="73">
        <v>1389</v>
      </c>
      <c r="AA478" s="73">
        <v>2156</v>
      </c>
      <c r="AB478" s="73">
        <v>3084</v>
      </c>
      <c r="AC478" s="73">
        <v>855</v>
      </c>
      <c r="AD478" s="73">
        <v>1751</v>
      </c>
      <c r="AE478" s="73">
        <v>2889</v>
      </c>
      <c r="AF478" s="73">
        <v>4083</v>
      </c>
      <c r="AG478" s="73">
        <v>1059</v>
      </c>
      <c r="AH478" s="73">
        <v>2434</v>
      </c>
      <c r="AI478" s="73">
        <v>4134</v>
      </c>
      <c r="AJ478" s="73">
        <v>6095</v>
      </c>
      <c r="AK478" s="73">
        <v>2037</v>
      </c>
      <c r="AL478" s="73">
        <v>4070</v>
      </c>
      <c r="AM478" s="73">
        <v>6403</v>
      </c>
      <c r="AN478" s="73">
        <v>9130</v>
      </c>
      <c r="AO478" s="73">
        <v>2280</v>
      </c>
      <c r="AP478" s="73">
        <v>5043</v>
      </c>
      <c r="AQ478" s="73">
        <v>8191</v>
      </c>
      <c r="AR478" s="73">
        <v>11690</v>
      </c>
      <c r="AS478" s="73">
        <v>3615</v>
      </c>
      <c r="AT478" s="73">
        <v>7423</v>
      </c>
      <c r="AU478" s="73">
        <v>11317</v>
      </c>
      <c r="AV478" s="73">
        <v>17051</v>
      </c>
      <c r="AW478" s="73">
        <v>5136</v>
      </c>
      <c r="AX478" s="73">
        <v>10723</v>
      </c>
      <c r="AY478" s="152">
        <f>AX478/AT478-100%</f>
        <v>0.44456419237505052</v>
      </c>
      <c r="BA478" s="312"/>
      <c r="BB478" s="9"/>
      <c r="BC478" s="9"/>
      <c r="BD478" s="9"/>
      <c r="BE478" s="9"/>
      <c r="BF478" s="9"/>
      <c r="BG478" s="9"/>
      <c r="BH478" s="9"/>
      <c r="BI478" s="9"/>
      <c r="BJ478" s="9"/>
      <c r="BK478" s="9"/>
    </row>
    <row r="479" spans="2:63" x14ac:dyDescent="0.2">
      <c r="C479" s="6" t="s">
        <v>190</v>
      </c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>
        <v>233</v>
      </c>
      <c r="V479" s="73">
        <v>854</v>
      </c>
      <c r="W479" s="73">
        <v>1541</v>
      </c>
      <c r="X479" s="73">
        <v>2448</v>
      </c>
      <c r="Y479" s="73">
        <v>727</v>
      </c>
      <c r="Z479" s="73">
        <v>1535</v>
      </c>
      <c r="AA479" s="73">
        <v>2368</v>
      </c>
      <c r="AB479" s="73">
        <v>3271</v>
      </c>
      <c r="AC479" s="73">
        <v>799</v>
      </c>
      <c r="AD479" s="73">
        <v>1581</v>
      </c>
      <c r="AE479" s="73">
        <v>2478</v>
      </c>
      <c r="AF479" s="73">
        <v>3412</v>
      </c>
      <c r="AG479" s="73">
        <v>866</v>
      </c>
      <c r="AH479" s="73">
        <v>2368</v>
      </c>
      <c r="AI479" s="73">
        <v>3620</v>
      </c>
      <c r="AJ479" s="73">
        <v>5693</v>
      </c>
      <c r="AK479" s="73">
        <v>1897</v>
      </c>
      <c r="AL479" s="73">
        <v>3399</v>
      </c>
      <c r="AM479" s="73">
        <v>5117</v>
      </c>
      <c r="AN479" s="73">
        <v>7011</v>
      </c>
      <c r="AO479" s="73">
        <v>1833</v>
      </c>
      <c r="AP479" s="73">
        <v>3774</v>
      </c>
      <c r="AQ479" s="73">
        <v>5860</v>
      </c>
      <c r="AR479" s="73">
        <v>8983</v>
      </c>
      <c r="AS479" s="73">
        <v>2774</v>
      </c>
      <c r="AT479" s="73">
        <v>6155</v>
      </c>
      <c r="AU479" s="73">
        <v>11952</v>
      </c>
      <c r="AV479" s="73">
        <v>10556</v>
      </c>
      <c r="AW479" s="73">
        <v>2780</v>
      </c>
      <c r="AX479" s="73">
        <v>5813</v>
      </c>
      <c r="AY479" s="152">
        <f>AX479/AT479-100%</f>
        <v>-5.5564581640942357E-2</v>
      </c>
      <c r="BA479" s="312"/>
      <c r="BB479" s="9"/>
      <c r="BC479" s="9"/>
      <c r="BD479" s="9"/>
      <c r="BE479" s="9"/>
      <c r="BF479" s="9"/>
      <c r="BG479" s="9"/>
      <c r="BH479" s="9"/>
      <c r="BI479" s="9"/>
      <c r="BJ479" s="9"/>
      <c r="BK479" s="9"/>
    </row>
    <row r="480" spans="2:63" x14ac:dyDescent="0.2">
      <c r="C480" s="6" t="s">
        <v>192</v>
      </c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>
        <v>239</v>
      </c>
      <c r="W480" s="73">
        <v>381</v>
      </c>
      <c r="X480" s="73">
        <v>817</v>
      </c>
      <c r="Y480" s="73">
        <v>460</v>
      </c>
      <c r="Z480" s="73">
        <v>1101</v>
      </c>
      <c r="AA480" s="73">
        <v>1726</v>
      </c>
      <c r="AB480" s="73">
        <v>2474</v>
      </c>
      <c r="AC480" s="73">
        <v>610</v>
      </c>
      <c r="AD480" s="73">
        <v>1272</v>
      </c>
      <c r="AE480" s="73">
        <v>1860</v>
      </c>
      <c r="AF480" s="73">
        <v>2665</v>
      </c>
      <c r="AG480" s="73">
        <v>675</v>
      </c>
      <c r="AH480" s="73">
        <v>1470</v>
      </c>
      <c r="AI480" s="73">
        <v>2897</v>
      </c>
      <c r="AJ480" s="73">
        <v>4152</v>
      </c>
      <c r="AK480" s="73">
        <v>1095</v>
      </c>
      <c r="AL480" s="73">
        <v>2511</v>
      </c>
      <c r="AM480" s="73">
        <v>3743</v>
      </c>
      <c r="AN480" s="73">
        <v>5296</v>
      </c>
      <c r="AO480" s="73">
        <v>1352</v>
      </c>
      <c r="AP480" s="73">
        <v>2857</v>
      </c>
      <c r="AQ480" s="73">
        <v>4169</v>
      </c>
      <c r="AR480" s="73">
        <v>5902</v>
      </c>
      <c r="AS480" s="73">
        <v>1607</v>
      </c>
      <c r="AT480" s="73">
        <v>3395</v>
      </c>
      <c r="AU480" s="73">
        <v>4992</v>
      </c>
      <c r="AV480" s="73">
        <v>7152</v>
      </c>
      <c r="AW480" s="73">
        <v>1800</v>
      </c>
      <c r="AX480" s="73">
        <v>3827</v>
      </c>
      <c r="AY480" s="152">
        <f>AX480/AT480-100%</f>
        <v>0.12724594992636229</v>
      </c>
      <c r="BA480" s="312"/>
      <c r="BB480" s="9"/>
      <c r="BC480" s="9"/>
      <c r="BD480" s="9"/>
      <c r="BE480" s="9"/>
      <c r="BF480" s="9"/>
      <c r="BG480" s="9"/>
      <c r="BH480" s="9"/>
      <c r="BI480" s="9"/>
      <c r="BJ480" s="9"/>
      <c r="BK480" s="9"/>
    </row>
    <row r="481" spans="2:63" x14ac:dyDescent="0.2">
      <c r="C481" s="10" t="s">
        <v>195</v>
      </c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>
        <v>446</v>
      </c>
      <c r="X481" s="73">
        <v>446</v>
      </c>
      <c r="Y481" s="73">
        <v>80</v>
      </c>
      <c r="Z481" s="73"/>
      <c r="AA481" s="73">
        <v>398</v>
      </c>
      <c r="AB481" s="73">
        <v>629</v>
      </c>
      <c r="AC481" s="73">
        <v>150</v>
      </c>
      <c r="AD481" s="73">
        <v>270</v>
      </c>
      <c r="AE481" s="73">
        <v>546</v>
      </c>
      <c r="AF481" s="73">
        <v>874</v>
      </c>
      <c r="AG481" s="73">
        <v>187</v>
      </c>
      <c r="AH481" s="73">
        <v>360</v>
      </c>
      <c r="AI481" s="73">
        <v>723</v>
      </c>
      <c r="AJ481" s="73">
        <v>1245</v>
      </c>
      <c r="AK481" s="73">
        <v>96</v>
      </c>
      <c r="AL481" s="73">
        <v>181</v>
      </c>
      <c r="AM481" s="73">
        <v>220</v>
      </c>
      <c r="AN481" s="73">
        <v>1288</v>
      </c>
      <c r="AO481" s="73">
        <v>320</v>
      </c>
      <c r="AP481" s="73">
        <v>1055</v>
      </c>
      <c r="AQ481" s="73">
        <v>1342</v>
      </c>
      <c r="AR481" s="73">
        <v>2106</v>
      </c>
      <c r="AS481" s="73">
        <v>544</v>
      </c>
      <c r="AT481" s="73">
        <v>1061</v>
      </c>
      <c r="AU481" s="73">
        <v>2213</v>
      </c>
      <c r="AV481" s="73">
        <v>3938</v>
      </c>
      <c r="AW481" s="73">
        <v>282</v>
      </c>
      <c r="AX481" s="73">
        <v>2346</v>
      </c>
      <c r="AY481" s="152">
        <f t="shared" ref="AY481:AY488" si="364">AX481/AT481-100%</f>
        <v>1.2111215834118756</v>
      </c>
      <c r="BA481" s="312"/>
      <c r="BB481" s="9"/>
      <c r="BC481" s="9"/>
      <c r="BD481" s="9"/>
      <c r="BE481" s="9"/>
      <c r="BF481" s="9"/>
      <c r="BG481" s="9"/>
      <c r="BH481" s="9"/>
      <c r="BI481" s="9"/>
      <c r="BJ481" s="9"/>
      <c r="BK481" s="9"/>
    </row>
    <row r="482" spans="2:63" x14ac:dyDescent="0.2">
      <c r="C482" s="6" t="s">
        <v>189</v>
      </c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>
        <v>1079</v>
      </c>
      <c r="V482" s="73">
        <v>2477</v>
      </c>
      <c r="W482" s="73">
        <v>4054</v>
      </c>
      <c r="X482" s="73">
        <v>5285</v>
      </c>
      <c r="Y482" s="73">
        <v>1922</v>
      </c>
      <c r="Z482" s="73">
        <v>4258</v>
      </c>
      <c r="AA482" s="73">
        <v>6606</v>
      </c>
      <c r="AB482" s="73">
        <v>8787</v>
      </c>
      <c r="AC482" s="73">
        <v>1889</v>
      </c>
      <c r="AD482" s="73">
        <v>3195</v>
      </c>
      <c r="AE482" s="73">
        <v>5132</v>
      </c>
      <c r="AF482" s="73">
        <v>7354</v>
      </c>
      <c r="AG482" s="73">
        <v>2355</v>
      </c>
      <c r="AH482" s="73">
        <v>5809</v>
      </c>
      <c r="AI482" s="73">
        <v>8726</v>
      </c>
      <c r="AJ482" s="73">
        <v>13239</v>
      </c>
      <c r="AK482" s="276">
        <v>2029</v>
      </c>
      <c r="AL482" s="276">
        <v>3911</v>
      </c>
      <c r="AM482" s="276">
        <v>6731</v>
      </c>
      <c r="AN482" s="73">
        <v>8971</v>
      </c>
      <c r="AO482" s="73">
        <v>1561</v>
      </c>
      <c r="AP482" s="73">
        <v>3264</v>
      </c>
      <c r="AQ482" s="73">
        <v>4583</v>
      </c>
      <c r="AR482" s="73">
        <v>5733</v>
      </c>
      <c r="AS482" s="73">
        <v>737</v>
      </c>
      <c r="AT482" s="73">
        <v>1920</v>
      </c>
      <c r="AU482" s="73">
        <v>4446</v>
      </c>
      <c r="AV482" s="73">
        <v>6234</v>
      </c>
      <c r="AW482" s="73">
        <v>704</v>
      </c>
      <c r="AX482" s="73">
        <v>869</v>
      </c>
      <c r="AY482" s="152">
        <f t="shared" si="364"/>
        <v>-0.5473958333333333</v>
      </c>
      <c r="BA482" s="312"/>
      <c r="BB482" s="9"/>
      <c r="BC482" s="9"/>
      <c r="BD482" s="9"/>
      <c r="BE482" s="9"/>
      <c r="BF482" s="9"/>
      <c r="BG482" s="9"/>
      <c r="BH482" s="9"/>
      <c r="BI482" s="9"/>
      <c r="BJ482" s="9"/>
      <c r="BK482" s="9"/>
    </row>
    <row r="483" spans="2:63" hidden="1" x14ac:dyDescent="0.2">
      <c r="C483" s="6" t="s">
        <v>188</v>
      </c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>
        <v>2004</v>
      </c>
      <c r="V483" s="73">
        <v>4676</v>
      </c>
      <c r="W483" s="73">
        <v>7681</v>
      </c>
      <c r="X483" s="73">
        <v>10655</v>
      </c>
      <c r="Y483" s="73">
        <v>2576</v>
      </c>
      <c r="Z483" s="73">
        <v>5686</v>
      </c>
      <c r="AA483" s="73">
        <v>9248</v>
      </c>
      <c r="AB483" s="73">
        <v>12683</v>
      </c>
      <c r="AC483" s="73">
        <v>3034</v>
      </c>
      <c r="AD483" s="73">
        <v>5634</v>
      </c>
      <c r="AE483" s="73">
        <v>9764</v>
      </c>
      <c r="AF483" s="73">
        <v>11698</v>
      </c>
      <c r="AG483" s="73">
        <v>2493</v>
      </c>
      <c r="AH483" s="73">
        <v>5939</v>
      </c>
      <c r="AI483" s="73">
        <v>9822</v>
      </c>
      <c r="AJ483" s="73">
        <v>12965</v>
      </c>
      <c r="AK483" s="301"/>
      <c r="AL483" s="301"/>
      <c r="AM483" s="301"/>
      <c r="AN483" s="301"/>
      <c r="AO483" s="301"/>
      <c r="AP483" s="301"/>
      <c r="AQ483" s="301"/>
      <c r="AR483" s="301"/>
      <c r="AS483" s="301"/>
      <c r="AT483" s="301"/>
      <c r="AU483" s="301"/>
      <c r="AV483" s="301"/>
      <c r="AW483" s="301"/>
      <c r="AX483" s="301"/>
      <c r="AY483" s="152" t="e">
        <f t="shared" si="364"/>
        <v>#DIV/0!</v>
      </c>
      <c r="BA483" s="312"/>
      <c r="BB483" s="9"/>
      <c r="BC483" s="9"/>
      <c r="BD483" s="9"/>
      <c r="BE483" s="9"/>
      <c r="BF483" s="9"/>
      <c r="BG483" s="9"/>
      <c r="BH483" s="9"/>
      <c r="BI483" s="9"/>
      <c r="BJ483" s="9"/>
      <c r="BK483" s="9"/>
    </row>
    <row r="484" spans="2:63" x14ac:dyDescent="0.2">
      <c r="C484" s="10" t="s">
        <v>197</v>
      </c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>
        <v>247</v>
      </c>
      <c r="Y484" s="73">
        <v>79</v>
      </c>
      <c r="Z484" s="73"/>
      <c r="AA484" s="73">
        <v>146</v>
      </c>
      <c r="AB484" s="73">
        <v>233</v>
      </c>
      <c r="AC484" s="73">
        <v>39</v>
      </c>
      <c r="AD484" s="73">
        <v>168</v>
      </c>
      <c r="AE484" s="73">
        <v>230</v>
      </c>
      <c r="AF484" s="73">
        <v>373</v>
      </c>
      <c r="AG484" s="73">
        <v>128</v>
      </c>
      <c r="AH484" s="73">
        <v>220</v>
      </c>
      <c r="AI484" s="73">
        <v>350</v>
      </c>
      <c r="AJ484" s="73">
        <v>294</v>
      </c>
      <c r="AK484" s="73">
        <v>-67</v>
      </c>
      <c r="AL484" s="73">
        <v>438</v>
      </c>
      <c r="AM484" s="73">
        <v>978</v>
      </c>
      <c r="AN484" s="73">
        <v>710</v>
      </c>
      <c r="AO484" s="73">
        <v>362</v>
      </c>
      <c r="AP484" s="73">
        <v>82</v>
      </c>
      <c r="AQ484" s="73">
        <v>139</v>
      </c>
      <c r="AR484" s="73">
        <v>184</v>
      </c>
      <c r="AS484" s="73">
        <v>124</v>
      </c>
      <c r="AT484" s="73">
        <v>342</v>
      </c>
      <c r="AU484" s="73">
        <v>427</v>
      </c>
      <c r="AV484" s="73">
        <v>554</v>
      </c>
      <c r="AW484" s="73">
        <v>61</v>
      </c>
      <c r="AX484" s="73">
        <v>493</v>
      </c>
      <c r="AY484" s="152">
        <f t="shared" si="364"/>
        <v>0.4415204678362572</v>
      </c>
      <c r="BA484" s="312"/>
      <c r="BB484" s="9"/>
      <c r="BC484" s="9"/>
      <c r="BD484" s="9"/>
      <c r="BE484" s="9"/>
      <c r="BF484" s="9"/>
      <c r="BG484" s="9"/>
      <c r="BH484" s="9"/>
      <c r="BI484" s="9"/>
      <c r="BJ484" s="9"/>
      <c r="BK484" s="9"/>
    </row>
    <row r="485" spans="2:63" x14ac:dyDescent="0.2">
      <c r="C485" s="6" t="s">
        <v>193</v>
      </c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>
        <v>104</v>
      </c>
      <c r="V485" s="73">
        <v>241</v>
      </c>
      <c r="W485" s="73">
        <v>368</v>
      </c>
      <c r="X485" s="73">
        <v>507</v>
      </c>
      <c r="Y485" s="73">
        <v>131</v>
      </c>
      <c r="Z485" s="73">
        <v>292</v>
      </c>
      <c r="AA485" s="73">
        <v>476</v>
      </c>
      <c r="AB485" s="73">
        <v>612</v>
      </c>
      <c r="AC485" s="73">
        <v>246</v>
      </c>
      <c r="AD485" s="73">
        <v>345</v>
      </c>
      <c r="AE485" s="73">
        <v>444</v>
      </c>
      <c r="AF485" s="73">
        <v>478</v>
      </c>
      <c r="AG485" s="73">
        <v>82</v>
      </c>
      <c r="AH485" s="73">
        <v>123</v>
      </c>
      <c r="AI485" s="73">
        <v>161</v>
      </c>
      <c r="AJ485" s="73">
        <v>783</v>
      </c>
      <c r="AK485" s="73">
        <v>262</v>
      </c>
      <c r="AL485" s="73">
        <v>403</v>
      </c>
      <c r="AM485" s="73">
        <v>619</v>
      </c>
      <c r="AN485" s="73">
        <v>772</v>
      </c>
      <c r="AO485" s="73">
        <v>87</v>
      </c>
      <c r="AP485" s="73">
        <v>123</v>
      </c>
      <c r="AQ485" s="73">
        <v>194</v>
      </c>
      <c r="AR485" s="73">
        <v>447</v>
      </c>
      <c r="AS485" s="73">
        <v>67</v>
      </c>
      <c r="AT485" s="73">
        <v>1136</v>
      </c>
      <c r="AU485" s="73">
        <v>300</v>
      </c>
      <c r="AV485" s="73">
        <v>365</v>
      </c>
      <c r="AW485" s="73">
        <v>187</v>
      </c>
      <c r="AX485" s="73">
        <v>265</v>
      </c>
      <c r="AY485" s="152">
        <f t="shared" si="364"/>
        <v>-0.76672535211267601</v>
      </c>
      <c r="BA485" s="312"/>
      <c r="BB485" s="9"/>
      <c r="BC485" s="9"/>
      <c r="BD485" s="9"/>
      <c r="BE485" s="9"/>
      <c r="BF485" s="9"/>
      <c r="BG485" s="9"/>
      <c r="BH485" s="9"/>
      <c r="BI485" s="9"/>
      <c r="BJ485" s="9"/>
      <c r="BK485" s="9"/>
    </row>
    <row r="486" spans="2:63" x14ac:dyDescent="0.2">
      <c r="C486" s="10" t="s">
        <v>196</v>
      </c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>
        <v>426</v>
      </c>
      <c r="Y486" s="73">
        <v>112</v>
      </c>
      <c r="Z486" s="73"/>
      <c r="AA486" s="73">
        <v>369</v>
      </c>
      <c r="AB486" s="73">
        <v>510</v>
      </c>
      <c r="AC486" s="73">
        <v>104</v>
      </c>
      <c r="AD486" s="73">
        <v>210</v>
      </c>
      <c r="AE486" s="73">
        <v>350</v>
      </c>
      <c r="AF486" s="73">
        <v>503</v>
      </c>
      <c r="AG486" s="73">
        <v>98</v>
      </c>
      <c r="AH486" s="73">
        <v>218</v>
      </c>
      <c r="AI486" s="73">
        <v>271</v>
      </c>
      <c r="AJ486" s="73">
        <v>506</v>
      </c>
      <c r="AK486" s="73">
        <v>88</v>
      </c>
      <c r="AL486" s="73">
        <v>108</v>
      </c>
      <c r="AM486" s="73">
        <v>136</v>
      </c>
      <c r="AN486" s="73">
        <v>173</v>
      </c>
      <c r="AO486" s="73">
        <v>33</v>
      </c>
      <c r="AP486" s="73">
        <v>86</v>
      </c>
      <c r="AQ486" s="73">
        <v>146</v>
      </c>
      <c r="AR486" s="73">
        <v>221</v>
      </c>
      <c r="AS486" s="73">
        <v>60</v>
      </c>
      <c r="AT486" s="73">
        <v>138</v>
      </c>
      <c r="AU486" s="73">
        <v>240</v>
      </c>
      <c r="AV486" s="73">
        <v>316</v>
      </c>
      <c r="AW486" s="73">
        <v>138</v>
      </c>
      <c r="AX486" s="73">
        <v>214</v>
      </c>
      <c r="AY486" s="152">
        <f t="shared" si="364"/>
        <v>0.55072463768115942</v>
      </c>
      <c r="BA486" s="312"/>
      <c r="BB486" s="9"/>
      <c r="BC486" s="9"/>
      <c r="BD486" s="9"/>
      <c r="BE486" s="9"/>
      <c r="BF486" s="9"/>
      <c r="BG486" s="9"/>
      <c r="BH486" s="9"/>
      <c r="BI486" s="9"/>
      <c r="BJ486" s="9"/>
      <c r="BK486" s="9"/>
    </row>
    <row r="487" spans="2:63" x14ac:dyDescent="0.2">
      <c r="C487" s="10" t="s">
        <v>198</v>
      </c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>
        <v>222</v>
      </c>
      <c r="Y487" s="73">
        <v>46</v>
      </c>
      <c r="Z487" s="73"/>
      <c r="AA487" s="73">
        <v>144</v>
      </c>
      <c r="AB487" s="73">
        <v>198</v>
      </c>
      <c r="AC487" s="73">
        <v>41</v>
      </c>
      <c r="AD487" s="73">
        <v>74</v>
      </c>
      <c r="AE487" s="73">
        <v>120</v>
      </c>
      <c r="AF487" s="73">
        <v>169</v>
      </c>
      <c r="AG487" s="73">
        <v>29</v>
      </c>
      <c r="AH487" s="73">
        <v>89</v>
      </c>
      <c r="AI487" s="73">
        <v>125</v>
      </c>
      <c r="AJ487" s="73">
        <v>172</v>
      </c>
      <c r="AK487" s="73">
        <v>48</v>
      </c>
      <c r="AL487" s="73">
        <v>100</v>
      </c>
      <c r="AM487" s="73">
        <v>139</v>
      </c>
      <c r="AN487" s="73">
        <v>196</v>
      </c>
      <c r="AO487" s="73">
        <v>43</v>
      </c>
      <c r="AP487" s="73">
        <v>92</v>
      </c>
      <c r="AQ487" s="73">
        <v>148</v>
      </c>
      <c r="AR487" s="73">
        <v>205</v>
      </c>
      <c r="AS487" s="73">
        <v>63</v>
      </c>
      <c r="AT487" s="73">
        <v>690</v>
      </c>
      <c r="AU487" s="73">
        <v>220</v>
      </c>
      <c r="AV487" s="73">
        <v>246</v>
      </c>
      <c r="AW487" s="73">
        <v>101</v>
      </c>
      <c r="AX487" s="73">
        <v>131</v>
      </c>
      <c r="AY487" s="152">
        <f t="shared" si="364"/>
        <v>-0.81014492753623191</v>
      </c>
      <c r="BA487" s="312"/>
      <c r="BB487" s="9"/>
      <c r="BC487" s="9"/>
      <c r="BD487" s="9"/>
      <c r="BE487" s="9"/>
      <c r="BF487" s="9"/>
      <c r="BG487" s="9"/>
      <c r="BH487" s="9"/>
      <c r="BI487" s="9"/>
      <c r="BJ487" s="9"/>
      <c r="BK487" s="9"/>
    </row>
    <row r="488" spans="2:63" x14ac:dyDescent="0.2">
      <c r="C488" s="6" t="s">
        <v>194</v>
      </c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>
        <v>507</v>
      </c>
      <c r="V488" s="73">
        <v>1132</v>
      </c>
      <c r="W488" s="73">
        <f>1117-W480</f>
        <v>736</v>
      </c>
      <c r="X488" s="73">
        <f t="shared" ref="X488:AR488" si="365">X477-SUM(X478:X487)</f>
        <v>255</v>
      </c>
      <c r="Y488" s="73">
        <f t="shared" si="365"/>
        <v>42</v>
      </c>
      <c r="Z488" s="73">
        <f t="shared" si="365"/>
        <v>947</v>
      </c>
      <c r="AA488" s="73">
        <f t="shared" si="365"/>
        <v>106</v>
      </c>
      <c r="AB488" s="73">
        <f t="shared" si="365"/>
        <v>158</v>
      </c>
      <c r="AC488" s="73">
        <f t="shared" si="365"/>
        <v>52</v>
      </c>
      <c r="AD488" s="73">
        <f t="shared" si="365"/>
        <v>192</v>
      </c>
      <c r="AE488" s="73">
        <f t="shared" si="365"/>
        <v>263</v>
      </c>
      <c r="AF488" s="73">
        <f t="shared" si="365"/>
        <v>379</v>
      </c>
      <c r="AG488" s="73">
        <f t="shared" si="365"/>
        <v>87</v>
      </c>
      <c r="AH488" s="73">
        <f t="shared" si="365"/>
        <v>561</v>
      </c>
      <c r="AI488" s="73">
        <f t="shared" si="365"/>
        <v>293</v>
      </c>
      <c r="AJ488" s="73">
        <f t="shared" si="365"/>
        <v>351</v>
      </c>
      <c r="AK488" s="73">
        <f t="shared" si="365"/>
        <v>77</v>
      </c>
      <c r="AL488" s="73">
        <f t="shared" si="365"/>
        <v>297</v>
      </c>
      <c r="AM488" s="73">
        <f t="shared" si="365"/>
        <v>438</v>
      </c>
      <c r="AN488" s="73">
        <f t="shared" si="365"/>
        <v>683</v>
      </c>
      <c r="AO488" s="73">
        <f t="shared" si="365"/>
        <v>632</v>
      </c>
      <c r="AP488" s="73">
        <f t="shared" si="365"/>
        <v>762</v>
      </c>
      <c r="AQ488" s="73">
        <f t="shared" si="365"/>
        <v>1674</v>
      </c>
      <c r="AR488" s="73">
        <f t="shared" si="365"/>
        <v>-605</v>
      </c>
      <c r="AS488" s="73">
        <v>104</v>
      </c>
      <c r="AT488" s="73">
        <v>1406</v>
      </c>
      <c r="AU488" s="73">
        <v>2344</v>
      </c>
      <c r="AV488" s="73">
        <v>2198</v>
      </c>
      <c r="AW488" s="73">
        <v>918</v>
      </c>
      <c r="AX488" s="73">
        <v>1880</v>
      </c>
      <c r="AY488" s="152">
        <f t="shared" si="364"/>
        <v>0.33712660028449504</v>
      </c>
      <c r="BA488" s="312"/>
      <c r="BB488" s="9"/>
      <c r="BC488" s="9"/>
      <c r="BD488" s="9"/>
      <c r="BE488" s="9"/>
      <c r="BF488" s="9"/>
      <c r="BG488" s="9"/>
      <c r="BH488" s="9"/>
      <c r="BI488" s="9"/>
      <c r="BJ488" s="9"/>
      <c r="BK488" s="9"/>
    </row>
    <row r="489" spans="2:63" x14ac:dyDescent="0.2">
      <c r="C489" s="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35"/>
      <c r="P489" s="26"/>
      <c r="Q489" s="35"/>
      <c r="R489" s="26"/>
      <c r="T489" s="26"/>
      <c r="U489" s="104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28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</row>
    <row r="490" spans="2:63" s="5" customFormat="1" x14ac:dyDescent="0.2">
      <c r="B490" s="42">
        <v>8</v>
      </c>
      <c r="C490" s="41" t="s">
        <v>23</v>
      </c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2"/>
      <c r="BB490" s="42"/>
      <c r="BC490" s="42"/>
      <c r="BD490" s="42"/>
      <c r="BE490" s="42"/>
      <c r="BF490" s="42"/>
      <c r="BG490" s="42"/>
      <c r="BH490" s="42"/>
      <c r="BI490" s="42"/>
      <c r="BJ490" s="42"/>
      <c r="BK490" s="61"/>
    </row>
    <row r="491" spans="2:63" x14ac:dyDescent="0.2">
      <c r="S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</row>
    <row r="492" spans="2:63" x14ac:dyDescent="0.2">
      <c r="C492" s="38" t="s">
        <v>131</v>
      </c>
      <c r="S492" s="9"/>
      <c r="U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</row>
    <row r="493" spans="2:63" x14ac:dyDescent="0.2">
      <c r="C493" s="9" t="s">
        <v>132</v>
      </c>
      <c r="D493" s="26"/>
      <c r="E493" s="26"/>
      <c r="F493" s="26">
        <f>SUM(F23:F24)/F35</f>
        <v>0.50217637241793156</v>
      </c>
      <c r="G493" s="26"/>
      <c r="H493" s="26">
        <f>SUM(H23:H24)/H35</f>
        <v>0.60690977022011494</v>
      </c>
      <c r="I493" s="26"/>
      <c r="J493" s="26">
        <f>SUM(J23:J24)/J35</f>
        <v>0.51217479995005022</v>
      </c>
      <c r="K493" s="26"/>
      <c r="L493" s="26">
        <f>SUM(L23:L24)/L35</f>
        <v>0.48562924742267327</v>
      </c>
      <c r="M493" s="26"/>
      <c r="N493" s="26">
        <f>SUM(N23:N24)/N35</f>
        <v>0.57871859557996264</v>
      </c>
      <c r="O493" s="26"/>
      <c r="P493" s="26">
        <f>SUM(P23:P24)/P35</f>
        <v>0.3744246081779366</v>
      </c>
      <c r="Q493" s="26"/>
      <c r="R493" s="26">
        <f>SUM(R23:R24)/R35</f>
        <v>0.4217367232178077</v>
      </c>
      <c r="S493" s="35"/>
      <c r="T493" s="26">
        <f>SUM(T23:T24)/T35</f>
        <v>0.38614269201260626</v>
      </c>
      <c r="U493" s="35"/>
      <c r="V493" s="26">
        <f>SUM(V23:V24)/V35</f>
        <v>0.40698582533973721</v>
      </c>
      <c r="W493" s="26">
        <f>SUM(W23:W24)/W35</f>
        <v>0.5881363257672757</v>
      </c>
      <c r="X493" s="26">
        <f>SUM(X23:X24)/X35</f>
        <v>0.55972272184113359</v>
      </c>
      <c r="Y493" s="26"/>
      <c r="Z493" s="26">
        <f t="shared" ref="Z493:AX493" si="366">SUM(Z23:Z24)/Z35</f>
        <v>0.54925396997841547</v>
      </c>
      <c r="AA493" s="26">
        <f t="shared" si="366"/>
        <v>0.5512857071638666</v>
      </c>
      <c r="AB493" s="26">
        <f t="shared" si="366"/>
        <v>0.51552421876789345</v>
      </c>
      <c r="AC493" s="26">
        <f t="shared" si="366"/>
        <v>0.49183888163874506</v>
      </c>
      <c r="AD493" s="26">
        <f t="shared" si="366"/>
        <v>0.44984120012499645</v>
      </c>
      <c r="AE493" s="26">
        <f t="shared" si="366"/>
        <v>0.43490578868493662</v>
      </c>
      <c r="AF493" s="26">
        <f t="shared" si="366"/>
        <v>0.47939273001833677</v>
      </c>
      <c r="AG493" s="26">
        <f t="shared" si="366"/>
        <v>0.49489584847434509</v>
      </c>
      <c r="AH493" s="26">
        <f t="shared" si="366"/>
        <v>0.53809193537600608</v>
      </c>
      <c r="AI493" s="26">
        <f t="shared" si="366"/>
        <v>0.57134636822748475</v>
      </c>
      <c r="AJ493" s="26">
        <f t="shared" si="366"/>
        <v>0.56681186764641811</v>
      </c>
      <c r="AK493" s="26">
        <f t="shared" si="366"/>
        <v>0.59386617875499115</v>
      </c>
      <c r="AL493" s="26">
        <f t="shared" si="366"/>
        <v>0.62820896134566984</v>
      </c>
      <c r="AM493" s="26">
        <f t="shared" si="366"/>
        <v>0.65597952401551618</v>
      </c>
      <c r="AN493" s="26">
        <f t="shared" si="366"/>
        <v>0.63461277119514614</v>
      </c>
      <c r="AO493" s="26">
        <f t="shared" si="366"/>
        <v>0.63722683678504788</v>
      </c>
      <c r="AP493" s="26">
        <f t="shared" si="366"/>
        <v>0.64359322253932649</v>
      </c>
      <c r="AQ493" s="26">
        <f t="shared" si="366"/>
        <v>0.61715851819573531</v>
      </c>
      <c r="AR493" s="26">
        <f t="shared" si="366"/>
        <v>0.59408777400959867</v>
      </c>
      <c r="AS493" s="26">
        <f t="shared" si="366"/>
        <v>0.61842426294483477</v>
      </c>
      <c r="AT493" s="26">
        <f t="shared" si="366"/>
        <v>0.62418028186235108</v>
      </c>
      <c r="AU493" s="26">
        <f t="shared" si="366"/>
        <v>0.64865681656745799</v>
      </c>
      <c r="AV493" s="26">
        <f t="shared" si="366"/>
        <v>0.65838240531334191</v>
      </c>
      <c r="AW493" s="26">
        <f t="shared" si="366"/>
        <v>0.67605320168978789</v>
      </c>
      <c r="AX493" s="26">
        <f t="shared" si="366"/>
        <v>0.69116745553280745</v>
      </c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</row>
    <row r="494" spans="2:63" x14ac:dyDescent="0.2">
      <c r="C494" s="9" t="s">
        <v>27</v>
      </c>
      <c r="D494" s="26"/>
      <c r="E494" s="26"/>
      <c r="F494" s="26">
        <f>SUM(F23:F24)/F39</f>
        <v>0.70046710295845838</v>
      </c>
      <c r="G494" s="26"/>
      <c r="H494" s="26">
        <f>SUM(H23:H24)/H39</f>
        <v>0.81615528185871167</v>
      </c>
      <c r="I494" s="26"/>
      <c r="J494" s="26">
        <f>SUM(J23:J24)/J39</f>
        <v>0.77307410038383462</v>
      </c>
      <c r="K494" s="26"/>
      <c r="L494" s="26">
        <f>SUM(L23:L24)/L39</f>
        <v>0.74856622902026837</v>
      </c>
      <c r="M494" s="26"/>
      <c r="N494" s="26">
        <f>SUM(N23:N24)/N39</f>
        <v>0.99361778171111526</v>
      </c>
      <c r="O494" s="26"/>
      <c r="P494" s="26">
        <f>SUM(P23:P24)/P39</f>
        <v>1.2048480264062715</v>
      </c>
      <c r="Q494" s="26"/>
      <c r="R494" s="26">
        <f>SUM(R23:R24)/R39</f>
        <v>0.86238140537568675</v>
      </c>
      <c r="S494" s="35"/>
      <c r="T494" s="26">
        <f>SUM(T23:T24)/T39</f>
        <v>0.74180722958703194</v>
      </c>
      <c r="U494" s="35"/>
      <c r="V494" s="26">
        <f>SUM(V23:V24)/V39</f>
        <v>0.62438322865340989</v>
      </c>
      <c r="W494" s="26">
        <f>SUM(W23:W24)/W39</f>
        <v>0.92616401387492497</v>
      </c>
      <c r="X494" s="26">
        <f>SUM(X23:X24)/X39</f>
        <v>0.9041601405303954</v>
      </c>
      <c r="Y494" s="26"/>
      <c r="Z494" s="26">
        <f t="shared" ref="Z494:AX494" si="367">SUM(Z23:Z24)/Z39</f>
        <v>0.80274358778477306</v>
      </c>
      <c r="AA494" s="26">
        <f t="shared" si="367"/>
        <v>0.77002523522235411</v>
      </c>
      <c r="AB494" s="26">
        <f t="shared" si="367"/>
        <v>0.75606107193703664</v>
      </c>
      <c r="AC494" s="26">
        <f t="shared" si="367"/>
        <v>0.80766743294829635</v>
      </c>
      <c r="AD494" s="26">
        <f t="shared" si="367"/>
        <v>0.79358874120406564</v>
      </c>
      <c r="AE494" s="26">
        <f t="shared" si="367"/>
        <v>0.78074359371149205</v>
      </c>
      <c r="AF494" s="26">
        <f t="shared" si="367"/>
        <v>0.7121139443196578</v>
      </c>
      <c r="AG494" s="26">
        <f t="shared" si="367"/>
        <v>0.7203072477709529</v>
      </c>
      <c r="AH494" s="26">
        <f t="shared" si="367"/>
        <v>0.79615740330667284</v>
      </c>
      <c r="AI494" s="26">
        <f t="shared" si="367"/>
        <v>0.87545306176054638</v>
      </c>
      <c r="AJ494" s="26">
        <f t="shared" si="367"/>
        <v>0.84345971727638736</v>
      </c>
      <c r="AK494" s="26">
        <f t="shared" si="367"/>
        <v>0.803144305150296</v>
      </c>
      <c r="AL494" s="26">
        <f t="shared" si="367"/>
        <v>0.86175239048484864</v>
      </c>
      <c r="AM494" s="26">
        <f t="shared" si="367"/>
        <v>0.90887736861927271</v>
      </c>
      <c r="AN494" s="26">
        <f t="shared" si="367"/>
        <v>0.82172117064061034</v>
      </c>
      <c r="AO494" s="26">
        <f t="shared" si="367"/>
        <v>0.80041392779099907</v>
      </c>
      <c r="AP494" s="26">
        <f t="shared" si="367"/>
        <v>0.82115368895657748</v>
      </c>
      <c r="AQ494" s="26">
        <f t="shared" si="367"/>
        <v>0.78310053077981845</v>
      </c>
      <c r="AR494" s="26">
        <f t="shared" si="367"/>
        <v>0.7577520581295869</v>
      </c>
      <c r="AS494" s="26">
        <f t="shared" si="367"/>
        <v>0.81999322174148426</v>
      </c>
      <c r="AT494" s="26">
        <f t="shared" si="367"/>
        <v>0.83081864311602016</v>
      </c>
      <c r="AU494" s="26">
        <f t="shared" si="367"/>
        <v>0.88231881929133527</v>
      </c>
      <c r="AV494" s="26">
        <f t="shared" si="367"/>
        <v>0.87595005884076294</v>
      </c>
      <c r="AW494" s="26">
        <f t="shared" si="367"/>
        <v>0.92701928513453169</v>
      </c>
      <c r="AX494" s="26">
        <f t="shared" si="367"/>
        <v>0.93346943755842393</v>
      </c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</row>
    <row r="495" spans="2:63" x14ac:dyDescent="0.2">
      <c r="C495" s="9" t="s">
        <v>133</v>
      </c>
      <c r="D495" s="26"/>
      <c r="E495" s="26"/>
      <c r="F495" s="26">
        <f>F58/F35</f>
        <v>0.10270686023562509</v>
      </c>
      <c r="G495" s="26"/>
      <c r="H495" s="26">
        <f>H58/H35</f>
        <v>0.12516649350783501</v>
      </c>
      <c r="I495" s="26"/>
      <c r="J495" s="26">
        <f>J58/J35</f>
        <v>9.7374300638171818E-2</v>
      </c>
      <c r="K495" s="26"/>
      <c r="L495" s="26">
        <f>L58/L35</f>
        <v>0.10294471694814533</v>
      </c>
      <c r="M495" s="26"/>
      <c r="N495" s="26">
        <f>N58/N35</f>
        <v>5.7503110084604216E-2</v>
      </c>
      <c r="O495" s="26"/>
      <c r="P495" s="26">
        <f>P58/P35</f>
        <v>5.8385440930713635E-2</v>
      </c>
      <c r="Q495" s="26"/>
      <c r="R495" s="26">
        <f>R58/R35</f>
        <v>0.11305982887840532</v>
      </c>
      <c r="S495" s="35"/>
      <c r="T495" s="26">
        <f>T56/T35</f>
        <v>0.12153462151504209</v>
      </c>
      <c r="U495" s="35"/>
      <c r="V495" s="26">
        <f>V58/V35</f>
        <v>0.11787272064350887</v>
      </c>
      <c r="W495" s="26">
        <f>W58/W35</f>
        <v>0.13109646231088234</v>
      </c>
      <c r="X495" s="26">
        <f>X58/X35</f>
        <v>0.11787836312440304</v>
      </c>
      <c r="Y495" s="26"/>
      <c r="Z495" s="26">
        <f t="shared" ref="Z495:AX495" si="368">Z58/Z35</f>
        <v>0.13025751820747813</v>
      </c>
      <c r="AA495" s="26">
        <f t="shared" si="368"/>
        <v>0.13287601575352709</v>
      </c>
      <c r="AB495" s="26">
        <f t="shared" si="368"/>
        <v>0.1225200274138165</v>
      </c>
      <c r="AC495" s="26">
        <f t="shared" si="368"/>
        <v>0.10261208500666068</v>
      </c>
      <c r="AD495" s="26">
        <f t="shared" si="368"/>
        <v>0.10555497686836164</v>
      </c>
      <c r="AE495" s="26">
        <f t="shared" si="368"/>
        <v>0.1086445562148691</v>
      </c>
      <c r="AF495" s="26">
        <f t="shared" si="368"/>
        <v>0.12693412253262862</v>
      </c>
      <c r="AG495" s="26">
        <f t="shared" si="368"/>
        <v>0.1164581399942604</v>
      </c>
      <c r="AH495" s="26">
        <f t="shared" si="368"/>
        <v>0.11158943183264551</v>
      </c>
      <c r="AI495" s="26">
        <f t="shared" si="368"/>
        <v>0.11690116479920058</v>
      </c>
      <c r="AJ495" s="26">
        <f t="shared" si="368"/>
        <v>0.11505827929735228</v>
      </c>
      <c r="AK495" s="26">
        <f t="shared" si="368"/>
        <v>9.4512557470365618E-2</v>
      </c>
      <c r="AL495" s="26">
        <f t="shared" si="368"/>
        <v>8.6502717848862556E-2</v>
      </c>
      <c r="AM495" s="26">
        <f t="shared" si="368"/>
        <v>7.9708561056985983E-2</v>
      </c>
      <c r="AN495" s="26">
        <f t="shared" si="368"/>
        <v>8.7905777489001191E-2</v>
      </c>
      <c r="AO495" s="26">
        <f t="shared" si="368"/>
        <v>9.4395628244029847E-2</v>
      </c>
      <c r="AP495" s="26">
        <f t="shared" si="368"/>
        <v>0.10419762015855774</v>
      </c>
      <c r="AQ495" s="26">
        <f t="shared" si="368"/>
        <v>9.6479754485146979E-2</v>
      </c>
      <c r="AR495" s="26">
        <f t="shared" si="368"/>
        <v>9.3558608773638002E-2</v>
      </c>
      <c r="AS495" s="26">
        <f t="shared" si="368"/>
        <v>9.7578031941408475E-2</v>
      </c>
      <c r="AT495" s="26">
        <f t="shared" si="368"/>
        <v>9.2991070652153868E-2</v>
      </c>
      <c r="AU495" s="26">
        <f t="shared" si="368"/>
        <v>9.6541980871201694E-2</v>
      </c>
      <c r="AV495" s="26">
        <f t="shared" si="368"/>
        <v>9.6382912941731236E-2</v>
      </c>
      <c r="AW495" s="26">
        <f t="shared" si="368"/>
        <v>9.8375287316579269E-2</v>
      </c>
      <c r="AX495" s="26">
        <f t="shared" si="368"/>
        <v>9.7152527561824284E-2</v>
      </c>
      <c r="AZ495" s="70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</row>
    <row r="496" spans="2:63" x14ac:dyDescent="0.2">
      <c r="C496" s="9" t="s">
        <v>134</v>
      </c>
      <c r="D496" s="26"/>
      <c r="E496" s="26"/>
      <c r="F496" s="26">
        <f>F39/F35</f>
        <v>0.71691642662012844</v>
      </c>
      <c r="G496" s="26"/>
      <c r="H496" s="26">
        <f>H39/H35</f>
        <v>0.74362046501486678</v>
      </c>
      <c r="I496" s="26"/>
      <c r="J496" s="26">
        <f>J39/J35</f>
        <v>0.66251708561411282</v>
      </c>
      <c r="K496" s="26"/>
      <c r="L496" s="26">
        <f>L39/L35</f>
        <v>0.64874586722709904</v>
      </c>
      <c r="M496" s="26"/>
      <c r="N496" s="26">
        <f>N39/N35</f>
        <v>0.58243582817464057</v>
      </c>
      <c r="O496" s="26"/>
      <c r="P496" s="26">
        <f>P39/P35</f>
        <v>0.31076500933876422</v>
      </c>
      <c r="Q496" s="26"/>
      <c r="R496" s="26">
        <f>R39/R35</f>
        <v>0.48903735700804313</v>
      </c>
      <c r="S496" s="35"/>
      <c r="T496" s="26">
        <f>T39/T35</f>
        <v>0.52054317700243224</v>
      </c>
      <c r="U496" s="35"/>
      <c r="V496" s="26">
        <f>V39/V35</f>
        <v>0.65182055933416461</v>
      </c>
      <c r="W496" s="26">
        <f>W39/W35</f>
        <v>0.63502394495614822</v>
      </c>
      <c r="X496" s="26">
        <f>X39/X35</f>
        <v>0.61905263984850178</v>
      </c>
      <c r="Y496" s="26"/>
      <c r="Z496" s="26">
        <f t="shared" ref="Z496:AX496" si="369">Z39/Z35</f>
        <v>0.68422093721622879</v>
      </c>
      <c r="AA496" s="26">
        <f t="shared" si="369"/>
        <v>0.71593200059823525</v>
      </c>
      <c r="AB496" s="26">
        <f t="shared" si="369"/>
        <v>0.68185525998199426</v>
      </c>
      <c r="AC496" s="26">
        <f t="shared" si="369"/>
        <v>0.60896213165775936</v>
      </c>
      <c r="AD496" s="26">
        <f t="shared" si="369"/>
        <v>0.56684423148755714</v>
      </c>
      <c r="AE496" s="26">
        <f t="shared" si="369"/>
        <v>0.55704048318537625</v>
      </c>
      <c r="AF496" s="26">
        <f t="shared" si="369"/>
        <v>0.67319666163304925</v>
      </c>
      <c r="AG496" s="26">
        <f t="shared" si="369"/>
        <v>0.68706215299906948</v>
      </c>
      <c r="AH496" s="26">
        <f t="shared" si="369"/>
        <v>0.67586124696090766</v>
      </c>
      <c r="AI496" s="26">
        <f t="shared" si="369"/>
        <v>0.65262935636834774</v>
      </c>
      <c r="AJ496" s="26">
        <f t="shared" si="369"/>
        <v>0.67200822521401282</v>
      </c>
      <c r="AK496" s="26">
        <f t="shared" si="369"/>
        <v>0.73942649527205251</v>
      </c>
      <c r="AL496" s="26">
        <f t="shared" si="369"/>
        <v>0.72899010003583498</v>
      </c>
      <c r="AM496" s="26">
        <f t="shared" si="369"/>
        <v>0.72174701083387305</v>
      </c>
      <c r="AN496" s="26">
        <f t="shared" si="369"/>
        <v>0.77229697112513818</v>
      </c>
      <c r="AO496" s="26">
        <f t="shared" si="369"/>
        <v>0.79612162489935834</v>
      </c>
      <c r="AP496" s="26">
        <f t="shared" si="369"/>
        <v>0.78376707210208929</v>
      </c>
      <c r="AQ496" s="26">
        <f t="shared" si="369"/>
        <v>0.78809615616166595</v>
      </c>
      <c r="AR496" s="26">
        <f t="shared" si="369"/>
        <v>0.78401340865510505</v>
      </c>
      <c r="AS496" s="26">
        <f t="shared" si="369"/>
        <v>0.7541821646177006</v>
      </c>
      <c r="AT496" s="26">
        <f t="shared" si="369"/>
        <v>0.75128343235213979</v>
      </c>
      <c r="AU496" s="26">
        <f t="shared" si="369"/>
        <v>0.73517282232339676</v>
      </c>
      <c r="AV496" s="26">
        <f t="shared" si="369"/>
        <v>0.7516209385094953</v>
      </c>
      <c r="AW496" s="26">
        <f t="shared" si="369"/>
        <v>0.72927630798066634</v>
      </c>
      <c r="AX496" s="26">
        <f t="shared" si="369"/>
        <v>0.7404285857934676</v>
      </c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</row>
    <row r="497" spans="2:63" x14ac:dyDescent="0.2">
      <c r="C497" s="9" t="s">
        <v>135</v>
      </c>
      <c r="D497" s="26"/>
      <c r="E497" s="26"/>
      <c r="F497" s="26">
        <f>F39/F46</f>
        <v>0.79897682802789238</v>
      </c>
      <c r="G497" s="26"/>
      <c r="H497" s="26">
        <f>H39/H46</f>
        <v>0.85001369917411429</v>
      </c>
      <c r="I497" s="26"/>
      <c r="J497" s="26">
        <f>J39/J46</f>
        <v>0.733988724321193</v>
      </c>
      <c r="K497" s="26"/>
      <c r="L497" s="26">
        <f>L39/L46</f>
        <v>0.72319496856427057</v>
      </c>
      <c r="M497" s="26"/>
      <c r="N497" s="26">
        <f>N39/N46</f>
        <v>0.61797108765730091</v>
      </c>
      <c r="O497" s="26"/>
      <c r="P497" s="26">
        <f>P39/P46</f>
        <v>0.3300342017289235</v>
      </c>
      <c r="Q497" s="26"/>
      <c r="R497" s="26">
        <f>R39/R46</f>
        <v>0.55137581195541396</v>
      </c>
      <c r="S497" s="35"/>
      <c r="T497" s="26">
        <f>T39/T46</f>
        <v>0.59414879792610598</v>
      </c>
      <c r="U497" s="35"/>
      <c r="V497" s="26">
        <f>V39/V46</f>
        <v>0.7389189458120663</v>
      </c>
      <c r="W497" s="26">
        <f>W39/W46</f>
        <v>0.73083365116111598</v>
      </c>
      <c r="X497" s="26">
        <f>X39/X46</f>
        <v>0.7017769590610381</v>
      </c>
      <c r="Y497" s="26"/>
      <c r="Z497" s="26">
        <f t="shared" ref="Z497:AX497" si="370">Z39/Z46</f>
        <v>0.78669370709139463</v>
      </c>
      <c r="AA497" s="26">
        <f t="shared" si="370"/>
        <v>0.8256397165860625</v>
      </c>
      <c r="AB497" s="26">
        <f t="shared" si="370"/>
        <v>0.77706076638122301</v>
      </c>
      <c r="AC497" s="26">
        <f t="shared" si="370"/>
        <v>0.67859408566057999</v>
      </c>
      <c r="AD497" s="26">
        <f t="shared" si="370"/>
        <v>0.63373848233054875</v>
      </c>
      <c r="AE497" s="26">
        <f t="shared" si="370"/>
        <v>0.62493642358867529</v>
      </c>
      <c r="AF497" s="26">
        <f t="shared" si="370"/>
        <v>0.77107201072373643</v>
      </c>
      <c r="AG497" s="26">
        <f t="shared" si="370"/>
        <v>0.77762263917479391</v>
      </c>
      <c r="AH497" s="26">
        <f t="shared" si="370"/>
        <v>0.76075327239195123</v>
      </c>
      <c r="AI497" s="26">
        <f t="shared" si="370"/>
        <v>0.73902187428426691</v>
      </c>
      <c r="AJ497" s="26">
        <f t="shared" si="370"/>
        <v>0.75938133494309124</v>
      </c>
      <c r="AK497" s="26">
        <f t="shared" si="370"/>
        <v>0.81660601852891279</v>
      </c>
      <c r="AL497" s="26">
        <f t="shared" si="370"/>
        <v>0.79802109352660799</v>
      </c>
      <c r="AM497" s="26">
        <f t="shared" si="370"/>
        <v>0.78425918170316133</v>
      </c>
      <c r="AN497" s="26">
        <f t="shared" si="370"/>
        <v>0.8467293751724484</v>
      </c>
      <c r="AO497" s="26">
        <f t="shared" si="370"/>
        <v>0.87910532427717369</v>
      </c>
      <c r="AP497" s="26">
        <f t="shared" si="370"/>
        <v>0.87493300948900887</v>
      </c>
      <c r="AQ497" s="26">
        <f t="shared" si="370"/>
        <v>0.87225068843098819</v>
      </c>
      <c r="AR497" s="26">
        <f t="shared" si="370"/>
        <v>0.86493557801280552</v>
      </c>
      <c r="AS497" s="26">
        <f t="shared" si="370"/>
        <v>0.83573116713924434</v>
      </c>
      <c r="AT497" s="26">
        <f t="shared" si="370"/>
        <v>0.82830874982931479</v>
      </c>
      <c r="AU497" s="26">
        <f t="shared" si="370"/>
        <v>0.81373213448514359</v>
      </c>
      <c r="AV497" s="26">
        <f t="shared" si="370"/>
        <v>0.83179141837213599</v>
      </c>
      <c r="AW497" s="26">
        <f t="shared" si="370"/>
        <v>0.80884684916209748</v>
      </c>
      <c r="AX497" s="26">
        <f t="shared" si="370"/>
        <v>0.82010373667426972</v>
      </c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</row>
    <row r="498" spans="2:63" x14ac:dyDescent="0.2">
      <c r="C498" s="9" t="s">
        <v>380</v>
      </c>
      <c r="D498" s="26">
        <f>D215/D58</f>
        <v>0</v>
      </c>
      <c r="E498" s="26"/>
      <c r="F498" s="26">
        <f>F215/F58</f>
        <v>0</v>
      </c>
      <c r="G498" s="26"/>
      <c r="H498" s="26">
        <f>H215/H58</f>
        <v>0</v>
      </c>
      <c r="I498" s="26"/>
      <c r="J498" s="26">
        <f>J215/J58</f>
        <v>0</v>
      </c>
      <c r="K498" s="26"/>
      <c r="L498" s="26">
        <f>L215/L58</f>
        <v>0</v>
      </c>
      <c r="M498" s="26"/>
      <c r="N498" s="26">
        <f>N215/N58</f>
        <v>0</v>
      </c>
      <c r="O498" s="26"/>
      <c r="P498" s="26">
        <f>P215/P58</f>
        <v>1.8543611141612679</v>
      </c>
      <c r="Q498" s="26"/>
      <c r="R498" s="26">
        <f>R215/R58</f>
        <v>0.77860003754928342</v>
      </c>
      <c r="S498" s="35"/>
      <c r="T498" s="26">
        <f>T215/T58</f>
        <v>0.50679013791004235</v>
      </c>
      <c r="U498" s="35"/>
      <c r="V498" s="26"/>
      <c r="W498" s="26"/>
      <c r="X498" s="26">
        <f>X215/X58</f>
        <v>0.37816128240204849</v>
      </c>
      <c r="Y498" s="26"/>
      <c r="Z498" s="26"/>
      <c r="AA498" s="26"/>
      <c r="AB498" s="26">
        <f>AB215/AB58</f>
        <v>0.3976805383796842</v>
      </c>
      <c r="AC498" s="26"/>
      <c r="AD498" s="26"/>
      <c r="AE498" s="26"/>
      <c r="AF498" s="26">
        <f>AF215/AF58</f>
        <v>0.31980094429308137</v>
      </c>
      <c r="AG498" s="26">
        <f>AG215/AG58</f>
        <v>0.33852316489049616</v>
      </c>
      <c r="AH498" s="26">
        <f>AH215/AH58</f>
        <v>0.38449344146617304</v>
      </c>
      <c r="AI498" s="26"/>
      <c r="AJ498" s="26">
        <f t="shared" ref="AJ498:AX498" si="371">AJ215/AJ58</f>
        <v>0.49223714972504856</v>
      </c>
      <c r="AK498" s="26">
        <f t="shared" si="371"/>
        <v>0.65914368129898349</v>
      </c>
      <c r="AL498" s="26">
        <f t="shared" si="371"/>
        <v>0.75013725636994333</v>
      </c>
      <c r="AM498" s="26">
        <f t="shared" si="371"/>
        <v>0.79599809129950694</v>
      </c>
      <c r="AN498" s="26">
        <f t="shared" si="371"/>
        <v>0.66961455378289048</v>
      </c>
      <c r="AO498" s="26">
        <f t="shared" si="371"/>
        <v>0.60132160644667876</v>
      </c>
      <c r="AP498" s="26">
        <f t="shared" si="371"/>
        <v>0.60457505764329922</v>
      </c>
      <c r="AQ498" s="26">
        <f t="shared" si="371"/>
        <v>0.57147951016041987</v>
      </c>
      <c r="AR498" s="26">
        <f t="shared" si="371"/>
        <v>0.52700288580458976</v>
      </c>
      <c r="AS498" s="26">
        <f t="shared" si="371"/>
        <v>0.95389857800557909</v>
      </c>
      <c r="AT498" s="26">
        <f t="shared" si="371"/>
        <v>0.94917708534055745</v>
      </c>
      <c r="AU498" s="26">
        <f t="shared" si="371"/>
        <v>0.85995286783990266</v>
      </c>
      <c r="AV498" s="26">
        <f t="shared" si="371"/>
        <v>0.81169565451510417</v>
      </c>
      <c r="AW498" s="26">
        <f t="shared" si="371"/>
        <v>0.80860316586011982</v>
      </c>
      <c r="AX498" s="26">
        <f t="shared" si="371"/>
        <v>0.75961657179033859</v>
      </c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</row>
    <row r="499" spans="2:63" x14ac:dyDescent="0.2">
      <c r="C499" s="9" t="s">
        <v>381</v>
      </c>
      <c r="D499" s="26">
        <f>D215/D35</f>
        <v>0</v>
      </c>
      <c r="E499" s="26"/>
      <c r="F499" s="26">
        <f>F215/F35</f>
        <v>0</v>
      </c>
      <c r="G499" s="26"/>
      <c r="H499" s="26">
        <f>H215/H35</f>
        <v>0</v>
      </c>
      <c r="I499" s="26"/>
      <c r="J499" s="26">
        <f>J215/J35</f>
        <v>0</v>
      </c>
      <c r="K499" s="26"/>
      <c r="L499" s="26">
        <f>L215/L35</f>
        <v>0</v>
      </c>
      <c r="M499" s="26"/>
      <c r="N499" s="26">
        <f>N215/N35</f>
        <v>0</v>
      </c>
      <c r="O499" s="26"/>
      <c r="P499" s="26">
        <f>P215/P35</f>
        <v>0.10826769129507503</v>
      </c>
      <c r="Q499" s="26"/>
      <c r="R499" s="26">
        <f>R215/R35</f>
        <v>8.8028387010041939E-2</v>
      </c>
      <c r="S499" s="35"/>
      <c r="T499" s="26">
        <f>T215/T35</f>
        <v>6.2783267270873494E-2</v>
      </c>
      <c r="U499" s="35"/>
      <c r="V499" s="26"/>
      <c r="W499" s="26"/>
      <c r="X499" s="26">
        <f>X215/X35</f>
        <v>4.4577032966578597E-2</v>
      </c>
      <c r="Y499" s="26"/>
      <c r="Z499" s="26"/>
      <c r="AA499" s="26"/>
      <c r="AB499" s="26">
        <f>AB215/AB35</f>
        <v>4.8723830464220214E-2</v>
      </c>
      <c r="AC499" s="26"/>
      <c r="AD499" s="26"/>
      <c r="AE499" s="26"/>
      <c r="AF499" s="26">
        <f>AF215/AF35</f>
        <v>4.0593652248948335E-2</v>
      </c>
      <c r="AG499" s="26">
        <f>AG215/AG35</f>
        <v>3.9423778128117495E-2</v>
      </c>
      <c r="AH499" s="26">
        <f>AH215/AH35</f>
        <v>4.2905404676588793E-2</v>
      </c>
      <c r="AI499" s="26"/>
      <c r="AJ499" s="26">
        <f t="shared" ref="AJ499:AX499" si="372">AJ215/AJ35</f>
        <v>5.663595945359725E-2</v>
      </c>
      <c r="AK499" s="26">
        <f t="shared" si="372"/>
        <v>6.229735505999854E-2</v>
      </c>
      <c r="AL499" s="26">
        <f t="shared" si="372"/>
        <v>6.4888911435689089E-2</v>
      </c>
      <c r="AM499" s="26">
        <f t="shared" si="372"/>
        <v>6.3447862461591051E-2</v>
      </c>
      <c r="AN499" s="26">
        <f t="shared" si="372"/>
        <v>5.8862987968235594E-2</v>
      </c>
      <c r="AO499" s="26">
        <f t="shared" si="372"/>
        <v>5.6762130817243503E-2</v>
      </c>
      <c r="AP499" s="26">
        <f t="shared" si="372"/>
        <v>6.2995282213654649E-2</v>
      </c>
      <c r="AQ499" s="26">
        <f t="shared" si="372"/>
        <v>5.5136202833569369E-2</v>
      </c>
      <c r="AR499" s="26">
        <f t="shared" si="372"/>
        <v>4.9305656815569844E-2</v>
      </c>
      <c r="AS499" s="26">
        <f t="shared" si="372"/>
        <v>9.3079545913492531E-2</v>
      </c>
      <c r="AT499" s="26">
        <f t="shared" si="372"/>
        <v>8.8264993404309253E-2</v>
      </c>
      <c r="AU499" s="26">
        <f t="shared" si="372"/>
        <v>8.3021553317134927E-2</v>
      </c>
      <c r="AV499" s="26">
        <f t="shared" si="372"/>
        <v>7.8233591604310843E-2</v>
      </c>
      <c r="AW499" s="26">
        <f t="shared" si="372"/>
        <v>7.9546568766584891E-2</v>
      </c>
      <c r="AX499" s="26">
        <f t="shared" si="372"/>
        <v>7.3798669927279348E-2</v>
      </c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</row>
    <row r="500" spans="2:63" x14ac:dyDescent="0.2">
      <c r="C500" s="9"/>
      <c r="S500" s="9"/>
      <c r="U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</row>
    <row r="501" spans="2:63" s="39" customFormat="1" ht="11.25" customHeight="1" x14ac:dyDescent="0.2">
      <c r="B501" s="45"/>
      <c r="C501" s="46" t="s">
        <v>136</v>
      </c>
      <c r="S501" s="45"/>
      <c r="U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</row>
    <row r="502" spans="2:63" x14ac:dyDescent="0.2">
      <c r="C502" s="9" t="s">
        <v>137</v>
      </c>
      <c r="D502" s="26"/>
      <c r="E502" s="26"/>
      <c r="F502" s="26">
        <f>F230/F199</f>
        <v>0</v>
      </c>
      <c r="G502" s="26"/>
      <c r="H502" s="26">
        <f>H230/H199</f>
        <v>0</v>
      </c>
      <c r="I502" s="26"/>
      <c r="J502" s="26">
        <f>J230/J199</f>
        <v>0</v>
      </c>
      <c r="K502" s="26"/>
      <c r="L502" s="26">
        <f>L230/L199</f>
        <v>0</v>
      </c>
      <c r="M502" s="26"/>
      <c r="N502" s="26">
        <f>N230/N199</f>
        <v>0</v>
      </c>
      <c r="O502" s="26"/>
      <c r="P502" s="26">
        <f>P230/P199</f>
        <v>4.949281076818373E-2</v>
      </c>
      <c r="Q502" s="26"/>
      <c r="R502" s="26">
        <f>R230/R199</f>
        <v>2.2965951240518877E-2</v>
      </c>
      <c r="S502" s="35"/>
      <c r="T502" s="26">
        <f>T230/T199</f>
        <v>7.4835615940712751E-4</v>
      </c>
      <c r="U502" s="35"/>
      <c r="V502" s="26">
        <f t="shared" ref="V502:AF502" si="373">V230/V199</f>
        <v>2.0538880948599861E-2</v>
      </c>
      <c r="W502" s="26">
        <f t="shared" si="373"/>
        <v>1.6008792433317369E-2</v>
      </c>
      <c r="X502" s="26">
        <f t="shared" si="373"/>
        <v>1.4847141240347837E-2</v>
      </c>
      <c r="Y502" s="26">
        <f t="shared" si="373"/>
        <v>1.5885379448334999E-2</v>
      </c>
      <c r="Z502" s="26">
        <f t="shared" si="373"/>
        <v>1.7156474249978387E-2</v>
      </c>
      <c r="AA502" s="26">
        <f t="shared" si="373"/>
        <v>1.8444004914218996E-2</v>
      </c>
      <c r="AB502" s="26">
        <f t="shared" si="373"/>
        <v>1.9683323768476754E-2</v>
      </c>
      <c r="AC502" s="26">
        <f t="shared" si="373"/>
        <v>1.8965819404987549E-2</v>
      </c>
      <c r="AD502" s="26">
        <f t="shared" si="373"/>
        <v>2.0981699311303916E-2</v>
      </c>
      <c r="AE502" s="26">
        <f t="shared" si="373"/>
        <v>2.1925226010467855E-2</v>
      </c>
      <c r="AF502" s="26">
        <f t="shared" si="373"/>
        <v>2.0091741885147767E-2</v>
      </c>
      <c r="AG502" s="26">
        <f>AG230/AG200</f>
        <v>1.9153589164555545E-2</v>
      </c>
      <c r="AH502" s="26">
        <f>AH230/AH200</f>
        <v>1.8605664880082941E-2</v>
      </c>
      <c r="AI502" s="26">
        <f>AI230/AI199</f>
        <v>1.8433354101326689E-2</v>
      </c>
      <c r="AJ502" s="26">
        <f>AJ230/AJ199</f>
        <v>2.1477378465912949E-2</v>
      </c>
      <c r="AK502" s="26">
        <f>AK230/AK199</f>
        <v>2.389305619162722E-2</v>
      </c>
      <c r="AL502" s="26">
        <f>AL230/AL200</f>
        <v>3.2016101770523581E-2</v>
      </c>
      <c r="AM502" s="26">
        <f>AM230/AM199</f>
        <v>3.2932234206493972E-2</v>
      </c>
      <c r="AN502" s="26">
        <f>AN230/AN199</f>
        <v>3.2364131231059537E-2</v>
      </c>
      <c r="AO502" s="26">
        <f>AO230/AO199</f>
        <v>3.3586422510049126E-2</v>
      </c>
      <c r="AP502" s="26">
        <f>AP230/AP200</f>
        <v>3.3718815291239247E-2</v>
      </c>
      <c r="AQ502" s="26">
        <f>AQ230/AQ199</f>
        <v>2.7869338090785092E-2</v>
      </c>
      <c r="AR502" s="26">
        <f>AR230/AR199</f>
        <v>2.6475296481560495E-2</v>
      </c>
      <c r="AS502" s="26">
        <f>AS230/AS199</f>
        <v>2.4046221853231121E-2</v>
      </c>
      <c r="AT502" s="26">
        <f>AT230/AT200</f>
        <v>2.8258323702202607E-2</v>
      </c>
      <c r="AU502" s="26">
        <f>AU230/AU199</f>
        <v>2.5635683946159275E-2</v>
      </c>
      <c r="AV502" s="26">
        <f>AV230/AV199</f>
        <v>2.4762681830108584E-2</v>
      </c>
      <c r="AW502" s="26">
        <f>AW230/AW199</f>
        <v>3.165943320994908E-2</v>
      </c>
      <c r="AX502" s="26">
        <f>AX230/AX200</f>
        <v>3.3284703769301066E-2</v>
      </c>
      <c r="AY502" s="26"/>
      <c r="BA502" s="9"/>
      <c r="BB502" s="9"/>
      <c r="BC502" s="9"/>
      <c r="BD502" s="9"/>
      <c r="BE502" s="9"/>
      <c r="BF502" s="9"/>
      <c r="BG502" s="9"/>
      <c r="BH502" s="9"/>
    </row>
    <row r="503" spans="2:63" x14ac:dyDescent="0.2">
      <c r="C503" s="9" t="s">
        <v>28</v>
      </c>
      <c r="D503" s="26"/>
      <c r="E503" s="26"/>
      <c r="F503" s="26" t="e">
        <f>-F210/F230</f>
        <v>#DIV/0!</v>
      </c>
      <c r="G503" s="26"/>
      <c r="H503" s="26" t="e">
        <f>-H210/H230</f>
        <v>#DIV/0!</v>
      </c>
      <c r="I503" s="26"/>
      <c r="J503" s="26" t="e">
        <f>-J210/J230</f>
        <v>#DIV/0!</v>
      </c>
      <c r="K503" s="26"/>
      <c r="L503" s="26" t="e">
        <f>-L210/L230</f>
        <v>#DIV/0!</v>
      </c>
      <c r="M503" s="26"/>
      <c r="N503" s="26" t="e">
        <f>-N210/N230</f>
        <v>#DIV/0!</v>
      </c>
      <c r="O503" s="26"/>
      <c r="P503" s="26">
        <f>-P210/P230</f>
        <v>1.0835970751937138</v>
      </c>
      <c r="Q503" s="26"/>
      <c r="R503" s="26">
        <f>-R210/R230</f>
        <v>1.3668848399080133</v>
      </c>
      <c r="S503" s="35"/>
      <c r="T503" s="26">
        <f>-T210/T230</f>
        <v>43.810679611650485</v>
      </c>
      <c r="U503" s="35"/>
      <c r="V503" s="26">
        <f t="shared" ref="V503:AX503" si="374">-V210/V230</f>
        <v>2.0826030927835051</v>
      </c>
      <c r="W503" s="26">
        <f t="shared" si="374"/>
        <v>1.9681764004767581</v>
      </c>
      <c r="X503" s="26">
        <f t="shared" si="374"/>
        <v>2.0439030273790859</v>
      </c>
      <c r="Y503" s="26">
        <f t="shared" si="374"/>
        <v>0.70310391363022939</v>
      </c>
      <c r="Z503" s="26">
        <f t="shared" si="374"/>
        <v>2.0239370078740158</v>
      </c>
      <c r="AA503" s="26">
        <f t="shared" si="374"/>
        <v>1.9777966742252457</v>
      </c>
      <c r="AB503" s="26">
        <f t="shared" si="374"/>
        <v>1.9138680033416875</v>
      </c>
      <c r="AC503" s="26">
        <f t="shared" si="374"/>
        <v>2.0093958689237459</v>
      </c>
      <c r="AD503" s="26">
        <f t="shared" si="374"/>
        <v>1.9903677758318739</v>
      </c>
      <c r="AE503" s="26">
        <f t="shared" si="374"/>
        <v>2.0074259010306639</v>
      </c>
      <c r="AF503" s="26">
        <f t="shared" si="374"/>
        <v>2.1610873058382434</v>
      </c>
      <c r="AG503" s="26">
        <f t="shared" si="374"/>
        <v>2.1887219045085784</v>
      </c>
      <c r="AH503" s="26">
        <f t="shared" si="374"/>
        <v>2.0576571735626006</v>
      </c>
      <c r="AI503" s="26">
        <f t="shared" si="374"/>
        <v>2.0605814675132477</v>
      </c>
      <c r="AJ503" s="26">
        <f t="shared" si="374"/>
        <v>2.0513201933804388</v>
      </c>
      <c r="AK503" s="26">
        <f t="shared" si="374"/>
        <v>2.4364598830571222</v>
      </c>
      <c r="AL503" s="26">
        <f t="shared" si="374"/>
        <v>1.7903617538028889</v>
      </c>
      <c r="AM503" s="26">
        <f t="shared" si="374"/>
        <v>1.7194552098327982</v>
      </c>
      <c r="AN503" s="26">
        <f t="shared" si="374"/>
        <v>1.6950854880822033</v>
      </c>
      <c r="AO503" s="26">
        <f t="shared" si="374"/>
        <v>1.6723093648082001</v>
      </c>
      <c r="AP503" s="26">
        <f t="shared" si="374"/>
        <v>1.6188759083800939</v>
      </c>
      <c r="AQ503" s="26">
        <f t="shared" si="374"/>
        <v>1.7285527307341451</v>
      </c>
      <c r="AR503" s="26">
        <f t="shared" si="374"/>
        <v>1.6805158684802073</v>
      </c>
      <c r="AS503" s="26">
        <f t="shared" si="374"/>
        <v>1.7171187559074776</v>
      </c>
      <c r="AT503" s="26">
        <f t="shared" si="374"/>
        <v>1.5305275806820782</v>
      </c>
      <c r="AU503" s="26">
        <f t="shared" si="374"/>
        <v>1.7658540255831452</v>
      </c>
      <c r="AV503" s="26">
        <f t="shared" si="374"/>
        <v>1.7148186317913285</v>
      </c>
      <c r="AW503" s="26">
        <f t="shared" si="374"/>
        <v>1.4237840326944109</v>
      </c>
      <c r="AX503" s="26">
        <f t="shared" si="374"/>
        <v>1.4451933234734839</v>
      </c>
      <c r="AY503" s="26"/>
      <c r="BA503" s="9"/>
      <c r="BB503" s="9"/>
      <c r="BC503" s="9"/>
      <c r="BD503" s="9"/>
      <c r="BE503" s="9"/>
      <c r="BF503" s="9"/>
      <c r="BG503" s="9"/>
      <c r="BH503" s="9"/>
    </row>
    <row r="504" spans="2:63" x14ac:dyDescent="0.2">
      <c r="C504" s="9" t="s">
        <v>138</v>
      </c>
      <c r="D504" s="26"/>
      <c r="E504" s="26"/>
      <c r="F504" s="26">
        <f>-F210/F199</f>
        <v>0</v>
      </c>
      <c r="G504" s="26"/>
      <c r="H504" s="26">
        <f>-H210/H199</f>
        <v>0</v>
      </c>
      <c r="I504" s="26"/>
      <c r="J504" s="26">
        <f>-J210/J199</f>
        <v>7.7831897467807262E-2</v>
      </c>
      <c r="K504" s="26"/>
      <c r="L504" s="26">
        <f>-L210/L199</f>
        <v>9.5556468558997007E-2</v>
      </c>
      <c r="M504" s="26"/>
      <c r="N504" s="26">
        <f>-N210/N199</f>
        <v>8.6668126779512536E-2</v>
      </c>
      <c r="O504" s="26"/>
      <c r="P504" s="26">
        <f>-P210/P199</f>
        <v>5.3630264991519842E-2</v>
      </c>
      <c r="Q504" s="26"/>
      <c r="R504" s="26">
        <f>-R210/R199</f>
        <v>3.1391810584731887E-2</v>
      </c>
      <c r="S504" s="35"/>
      <c r="T504" s="26">
        <f>-T210/T199</f>
        <v>3.2785991935190904E-2</v>
      </c>
      <c r="U504" s="35"/>
      <c r="V504" s="26">
        <f t="shared" ref="V504:AX504" si="375">-V210/V199</f>
        <v>4.2774336985866288E-2</v>
      </c>
      <c r="W504" s="26">
        <f t="shared" si="375"/>
        <v>3.1508127467386141E-2</v>
      </c>
      <c r="X504" s="26">
        <f t="shared" si="375"/>
        <v>3.0346116929071815E-2</v>
      </c>
      <c r="Y504" s="26">
        <f t="shared" si="375"/>
        <v>1.1169072459625553E-2</v>
      </c>
      <c r="Z504" s="26">
        <f t="shared" si="375"/>
        <v>3.4723623159168854E-2</v>
      </c>
      <c r="AA504" s="26">
        <f t="shared" si="375"/>
        <v>3.6478491578736422E-2</v>
      </c>
      <c r="AB504" s="26">
        <f t="shared" si="375"/>
        <v>3.7671283559902589E-2</v>
      </c>
      <c r="AC504" s="26">
        <f t="shared" si="375"/>
        <v>3.8109839163135796E-2</v>
      </c>
      <c r="AD504" s="26">
        <f t="shared" si="375"/>
        <v>4.1761298191413138E-2</v>
      </c>
      <c r="AE504" s="26">
        <f t="shared" si="375"/>
        <v>4.4013266579364378E-2</v>
      </c>
      <c r="AF504" s="26">
        <f t="shared" si="375"/>
        <v>4.342000834017138E-2</v>
      </c>
      <c r="AG504" s="26">
        <f t="shared" si="375"/>
        <v>3.9673107288791386E-2</v>
      </c>
      <c r="AH504" s="26">
        <f t="shared" si="375"/>
        <v>3.6962069790966869E-2</v>
      </c>
      <c r="AI504" s="26">
        <f t="shared" si="375"/>
        <v>3.7983427845303092E-2</v>
      </c>
      <c r="AJ504" s="26">
        <f t="shared" si="375"/>
        <v>4.4056980148001419E-2</v>
      </c>
      <c r="AK504" s="26">
        <f t="shared" si="375"/>
        <v>5.8214472894529308E-2</v>
      </c>
      <c r="AL504" s="26">
        <f t="shared" si="375"/>
        <v>5.6747599997082801E-2</v>
      </c>
      <c r="AM504" s="26">
        <f t="shared" si="375"/>
        <v>5.6625501677789944E-2</v>
      </c>
      <c r="AN504" s="26">
        <f t="shared" si="375"/>
        <v>5.4859969184157031E-2</v>
      </c>
      <c r="AO504" s="26">
        <f t="shared" si="375"/>
        <v>5.6166888893960092E-2</v>
      </c>
      <c r="AP504" s="26">
        <f t="shared" si="375"/>
        <v>5.4487945577692105E-2</v>
      </c>
      <c r="AQ504" s="26">
        <f t="shared" si="375"/>
        <v>4.8173620460579693E-2</v>
      </c>
      <c r="AR504" s="26">
        <f t="shared" si="375"/>
        <v>4.4492155859980613E-2</v>
      </c>
      <c r="AS504" s="26">
        <f t="shared" si="375"/>
        <v>4.1290218552895427E-2</v>
      </c>
      <c r="AT504" s="26">
        <f t="shared" si="375"/>
        <v>4.32161822972396E-2</v>
      </c>
      <c r="AU504" s="26">
        <f t="shared" si="375"/>
        <v>4.5268875694902566E-2</v>
      </c>
      <c r="AV504" s="26">
        <f t="shared" si="375"/>
        <v>4.2463508175390796E-2</v>
      </c>
      <c r="AW504" s="26">
        <f t="shared" si="375"/>
        <v>4.5076195488480651E-2</v>
      </c>
      <c r="AX504" s="26">
        <f t="shared" si="375"/>
        <v>4.8085213626334847E-2</v>
      </c>
      <c r="BA504" s="9"/>
      <c r="BB504" s="9"/>
      <c r="BC504" s="9"/>
      <c r="BD504" s="9"/>
      <c r="BE504" s="9"/>
      <c r="BF504" s="9"/>
      <c r="BG504" s="9"/>
      <c r="BH504" s="9"/>
    </row>
    <row r="505" spans="2:63" x14ac:dyDescent="0.2">
      <c r="C505" s="9"/>
      <c r="S505" s="9"/>
      <c r="U505" s="9"/>
      <c r="BA505" s="9"/>
      <c r="BB505" s="9"/>
      <c r="BC505" s="9"/>
      <c r="BD505" s="9"/>
      <c r="BE505" s="9"/>
      <c r="BF505" s="9"/>
      <c r="BG505" s="9"/>
      <c r="BH505" s="9"/>
    </row>
    <row r="506" spans="2:63" x14ac:dyDescent="0.2">
      <c r="C506" s="9" t="s">
        <v>139</v>
      </c>
      <c r="D506" s="26"/>
      <c r="E506" s="26"/>
      <c r="F506" s="26">
        <f>F223/F188</f>
        <v>0</v>
      </c>
      <c r="G506" s="26"/>
      <c r="H506" s="26">
        <f>H223/H188</f>
        <v>0</v>
      </c>
      <c r="I506" s="26"/>
      <c r="J506" s="26">
        <f>J223/J188</f>
        <v>0</v>
      </c>
      <c r="K506" s="26"/>
      <c r="L506" s="26">
        <f>L223/L188</f>
        <v>0</v>
      </c>
      <c r="M506" s="26"/>
      <c r="N506" s="26">
        <f>N223/N188</f>
        <v>0</v>
      </c>
      <c r="O506" s="26"/>
      <c r="P506" s="26">
        <f>P223/P188</f>
        <v>0.13077805222300634</v>
      </c>
      <c r="Q506" s="26"/>
      <c r="R506" s="26">
        <f>R223/R188</f>
        <v>6.2535472288179766E-2</v>
      </c>
      <c r="S506" s="35"/>
      <c r="T506" s="26">
        <f>T223/T188</f>
        <v>0</v>
      </c>
      <c r="U506" s="35"/>
      <c r="V506" s="26">
        <f t="shared" ref="V506:AX506" si="376">V223/V188</f>
        <v>3.7586969543381102E-2</v>
      </c>
      <c r="W506" s="26">
        <f t="shared" si="376"/>
        <v>3.4407351151041161E-2</v>
      </c>
      <c r="X506" s="26">
        <f t="shared" si="376"/>
        <v>2.8760632016383396E-2</v>
      </c>
      <c r="Y506" s="26">
        <f t="shared" si="376"/>
        <v>2.9601604564259355E-2</v>
      </c>
      <c r="Z506" s="26">
        <f t="shared" si="376"/>
        <v>2.942765612569187E-2</v>
      </c>
      <c r="AA506" s="26">
        <f t="shared" si="376"/>
        <v>3.1595353900859199E-2</v>
      </c>
      <c r="AB506" s="26">
        <f t="shared" si="376"/>
        <v>3.2432097234280047E-2</v>
      </c>
      <c r="AC506" s="26">
        <f t="shared" si="376"/>
        <v>3.4082163795877821E-2</v>
      </c>
      <c r="AD506" s="26">
        <f t="shared" si="376"/>
        <v>4.1129221696707491E-2</v>
      </c>
      <c r="AE506" s="26">
        <f t="shared" si="376"/>
        <v>4.3855723329182236E-2</v>
      </c>
      <c r="AF506" s="26">
        <f t="shared" si="376"/>
        <v>3.9779546311796081E-2</v>
      </c>
      <c r="AG506" s="26">
        <f t="shared" si="376"/>
        <v>3.6581396862591944E-2</v>
      </c>
      <c r="AH506" s="26">
        <f t="shared" si="376"/>
        <v>3.2430660515379316E-2</v>
      </c>
      <c r="AI506" s="26">
        <f t="shared" si="376"/>
        <v>3.4337418253961777E-2</v>
      </c>
      <c r="AJ506" s="26">
        <f t="shared" si="376"/>
        <v>3.9583931000657047E-2</v>
      </c>
      <c r="AK506" s="26">
        <f t="shared" si="376"/>
        <v>4.1103791517332441E-2</v>
      </c>
      <c r="AL506" s="26">
        <f t="shared" si="376"/>
        <v>4.2322594248864448E-2</v>
      </c>
      <c r="AM506" s="26">
        <f t="shared" si="376"/>
        <v>4.3400860843520864E-2</v>
      </c>
      <c r="AN506" s="26">
        <f t="shared" si="376"/>
        <v>4.1960474560584667E-2</v>
      </c>
      <c r="AO506" s="26">
        <f t="shared" si="376"/>
        <v>4.0720144138857432E-2</v>
      </c>
      <c r="AP506" s="26">
        <f t="shared" si="376"/>
        <v>3.4681677722672138E-2</v>
      </c>
      <c r="AQ506" s="26">
        <f t="shared" si="376"/>
        <v>3.1920382390972897E-2</v>
      </c>
      <c r="AR506" s="26">
        <f t="shared" si="376"/>
        <v>2.9850105021959138E-2</v>
      </c>
      <c r="AS506" s="26">
        <f t="shared" si="376"/>
        <v>2.8482432321984798E-2</v>
      </c>
      <c r="AT506" s="26">
        <f t="shared" si="376"/>
        <v>3.2700068387874356E-2</v>
      </c>
      <c r="AU506" s="26">
        <f t="shared" si="376"/>
        <v>3.6939344806156633E-2</v>
      </c>
      <c r="AV506" s="26">
        <f t="shared" si="376"/>
        <v>3.630180240804199E-2</v>
      </c>
      <c r="AW506" s="26">
        <f t="shared" si="376"/>
        <v>3.8180177063696127E-2</v>
      </c>
      <c r="AX506" s="26">
        <f t="shared" si="376"/>
        <v>4.1987311242515098E-2</v>
      </c>
      <c r="AZ506" s="30"/>
      <c r="BA506" s="92"/>
      <c r="BB506" s="43"/>
      <c r="BC506" s="9"/>
      <c r="BD506" s="9"/>
      <c r="BE506" s="9"/>
      <c r="BF506" s="9"/>
      <c r="BG506" s="9"/>
      <c r="BH506" s="9"/>
    </row>
    <row r="507" spans="2:63" hidden="1" outlineLevel="1" x14ac:dyDescent="0.2">
      <c r="C507" s="117" t="s">
        <v>235</v>
      </c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>
        <f>R226/R185</f>
        <v>7.776536722025891E-2</v>
      </c>
      <c r="S507" s="109"/>
      <c r="T507" s="109">
        <f>T226/T185</f>
        <v>8.1610811491406629E-2</v>
      </c>
      <c r="U507" s="109"/>
      <c r="V507" s="109">
        <f t="shared" ref="V507:X508" si="377">V226/V185</f>
        <v>8.4872051092670639E-2</v>
      </c>
      <c r="W507" s="109">
        <f t="shared" si="377"/>
        <v>7.8915470494417869E-2</v>
      </c>
      <c r="X507" s="109">
        <f t="shared" si="377"/>
        <v>6.6521035938583037E-2</v>
      </c>
      <c r="Y507" s="109"/>
      <c r="Z507" s="109">
        <f t="shared" ref="Z507:AX507" si="378">Z226/Z185</f>
        <v>6.7058477813693798E-2</v>
      </c>
      <c r="AA507" s="109">
        <f t="shared" si="378"/>
        <v>6.8589441646436461E-2</v>
      </c>
      <c r="AB507" s="109">
        <f t="shared" si="378"/>
        <v>6.8846702872988011E-2</v>
      </c>
      <c r="AC507" s="109">
        <f t="shared" si="378"/>
        <v>6.7234292425132125E-2</v>
      </c>
      <c r="AD507" s="109">
        <f t="shared" si="378"/>
        <v>8.0268718854475493E-2</v>
      </c>
      <c r="AE507" s="109">
        <f t="shared" si="378"/>
        <v>9.286667475433702E-2</v>
      </c>
      <c r="AF507" s="109">
        <f t="shared" si="378"/>
        <v>8.7049761477526369E-2</v>
      </c>
      <c r="AG507" s="109">
        <f t="shared" si="378"/>
        <v>8.1020747003753155E-2</v>
      </c>
      <c r="AH507" s="109">
        <f t="shared" si="378"/>
        <v>6.2397167788128767E-2</v>
      </c>
      <c r="AI507" s="109">
        <f t="shared" si="378"/>
        <v>6.298699956596325E-2</v>
      </c>
      <c r="AJ507" s="109">
        <f t="shared" si="378"/>
        <v>8.1335779816513756E-2</v>
      </c>
      <c r="AK507" s="109">
        <f t="shared" si="378"/>
        <v>8.6375643087401671E-2</v>
      </c>
      <c r="AL507" s="109">
        <f t="shared" si="378"/>
        <v>8.987739094833469E-2</v>
      </c>
      <c r="AM507" s="109">
        <f t="shared" si="378"/>
        <v>9.0107663252505479E-2</v>
      </c>
      <c r="AN507" s="109">
        <f t="shared" si="378"/>
        <v>8.475736626619236E-2</v>
      </c>
      <c r="AO507" s="109">
        <f t="shared" si="378"/>
        <v>8.0619709268892836E-2</v>
      </c>
      <c r="AP507" s="109">
        <f t="shared" si="378"/>
        <v>6.3773748346541495E-2</v>
      </c>
      <c r="AQ507" s="109">
        <f t="shared" si="378"/>
        <v>6.4151763501495554E-2</v>
      </c>
      <c r="AR507" s="109">
        <f t="shared" si="378"/>
        <v>6.8552328520869621E-2</v>
      </c>
      <c r="AS507" s="109">
        <f t="shared" si="378"/>
        <v>4.5754956786985254E-2</v>
      </c>
      <c r="AT507" s="109">
        <f t="shared" si="378"/>
        <v>5.7587939698492463E-2</v>
      </c>
      <c r="AU507" s="109">
        <f t="shared" si="378"/>
        <v>7.7533111146556519E-2</v>
      </c>
      <c r="AV507" s="109">
        <f t="shared" si="378"/>
        <v>7.9199564846799159E-2</v>
      </c>
      <c r="AW507" s="109">
        <f t="shared" si="378"/>
        <v>8.6406350617452804E-2</v>
      </c>
      <c r="AX507" s="109">
        <f t="shared" si="378"/>
        <v>0.100268608500879</v>
      </c>
      <c r="AZ507" s="141"/>
      <c r="BA507" s="92"/>
      <c r="BB507" s="43"/>
      <c r="BC507" s="9"/>
      <c r="BD507" s="9"/>
      <c r="BE507" s="9"/>
      <c r="BF507" s="9"/>
      <c r="BG507" s="9"/>
      <c r="BH507" s="9"/>
    </row>
    <row r="508" spans="2:63" s="6" customFormat="1" hidden="1" outlineLevel="1" x14ac:dyDescent="0.2">
      <c r="B508" s="13"/>
      <c r="C508" s="117" t="s">
        <v>236</v>
      </c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>
        <f>R227/R186</f>
        <v>9.0489656198839113E-2</v>
      </c>
      <c r="S508" s="85"/>
      <c r="T508" s="109">
        <f>T227/T186</f>
        <v>6.7772717414877462E-2</v>
      </c>
      <c r="U508" s="106"/>
      <c r="V508" s="109">
        <f t="shared" si="377"/>
        <v>8.2849399922570649E-2</v>
      </c>
      <c r="W508" s="109">
        <f t="shared" si="377"/>
        <v>5.9921493230793876E-2</v>
      </c>
      <c r="X508" s="109">
        <f t="shared" si="377"/>
        <v>2.5267201891346108E-2</v>
      </c>
      <c r="Y508" s="109"/>
      <c r="Z508" s="109">
        <f t="shared" ref="Z508:AX508" si="379">Z227/Z186</f>
        <v>2.3329149190215229E-2</v>
      </c>
      <c r="AA508" s="109">
        <f t="shared" si="379"/>
        <v>3.4246575342465752E-2</v>
      </c>
      <c r="AB508" s="109">
        <f t="shared" si="379"/>
        <v>4.1452576031106789E-2</v>
      </c>
      <c r="AC508" s="109">
        <f t="shared" si="379"/>
        <v>5.095831077422848E-2</v>
      </c>
      <c r="AD508" s="109">
        <f t="shared" si="379"/>
        <v>6.1422618921720004E-2</v>
      </c>
      <c r="AE508" s="109">
        <f t="shared" si="379"/>
        <v>6.3027895327748509E-2</v>
      </c>
      <c r="AF508" s="109">
        <f t="shared" si="379"/>
        <v>6.0838873840597552E-2</v>
      </c>
      <c r="AG508" s="109">
        <f t="shared" si="379"/>
        <v>5.5837404973384741E-2</v>
      </c>
      <c r="AH508" s="109">
        <f t="shared" si="379"/>
        <v>4.2908910558439789E-2</v>
      </c>
      <c r="AI508" s="109">
        <f t="shared" si="379"/>
        <v>5.6538603765568574E-2</v>
      </c>
      <c r="AJ508" s="109">
        <f t="shared" si="379"/>
        <v>5.7747996813645099E-2</v>
      </c>
      <c r="AK508" s="109">
        <f t="shared" si="379"/>
        <v>5.6884732373904755E-2</v>
      </c>
      <c r="AL508" s="109">
        <f t="shared" si="379"/>
        <v>5.2200744632019173E-2</v>
      </c>
      <c r="AM508" s="109">
        <f t="shared" si="379"/>
        <v>5.380112269446672E-2</v>
      </c>
      <c r="AN508" s="109">
        <f t="shared" si="379"/>
        <v>5.6939075428900032E-2</v>
      </c>
      <c r="AO508" s="109">
        <f t="shared" si="379"/>
        <v>5.658841894221308E-2</v>
      </c>
      <c r="AP508" s="109">
        <f t="shared" si="379"/>
        <v>5.3401945781365222E-2</v>
      </c>
      <c r="AQ508" s="109">
        <f t="shared" si="379"/>
        <v>4.9850936306325894E-2</v>
      </c>
      <c r="AR508" s="109">
        <f t="shared" si="379"/>
        <v>4.989030632973105E-2</v>
      </c>
      <c r="AS508" s="109">
        <f t="shared" si="379"/>
        <v>5.0473104843125005E-2</v>
      </c>
      <c r="AT508" s="109">
        <f t="shared" si="379"/>
        <v>5.9835438314665722E-2</v>
      </c>
      <c r="AU508" s="109">
        <f t="shared" si="379"/>
        <v>6.9905393484014242E-2</v>
      </c>
      <c r="AV508" s="109">
        <f t="shared" si="379"/>
        <v>6.7773575303329975E-2</v>
      </c>
      <c r="AW508" s="109">
        <f t="shared" si="379"/>
        <v>6.7754977582526799E-2</v>
      </c>
      <c r="AX508" s="109">
        <f t="shared" si="379"/>
        <v>6.8996749367932653E-2</v>
      </c>
      <c r="AZ508" s="141"/>
      <c r="BA508" s="142"/>
      <c r="BB508" s="142"/>
      <c r="BH508" s="13"/>
      <c r="BI508" s="13"/>
      <c r="BJ508" s="13"/>
      <c r="BK508" s="13"/>
    </row>
    <row r="509" spans="2:63" s="6" customFormat="1" hidden="1" outlineLevel="1" x14ac:dyDescent="0.2">
      <c r="B509" s="13"/>
      <c r="C509" s="117" t="s">
        <v>243</v>
      </c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>
        <f>R224/R183</f>
        <v>2.5424912689173459E-2</v>
      </c>
      <c r="S509" s="85"/>
      <c r="T509" s="109">
        <f>T224/T183</f>
        <v>1.4231298275314781E-2</v>
      </c>
      <c r="U509" s="110"/>
      <c r="V509" s="109">
        <f t="shared" ref="V509:X510" si="380">V224/V183</f>
        <v>2.407049215559854E-2</v>
      </c>
      <c r="W509" s="109">
        <f t="shared" si="380"/>
        <v>2.4075102924626408E-2</v>
      </c>
      <c r="X509" s="109">
        <f t="shared" si="380"/>
        <v>2.2953399663901412E-2</v>
      </c>
      <c r="Y509" s="109"/>
      <c r="Z509" s="109">
        <f t="shared" ref="Z509:AX509" si="381">Z224/Z183</f>
        <v>2.2640320475311698E-2</v>
      </c>
      <c r="AA509" s="109">
        <f t="shared" si="381"/>
        <v>2.3137460112250027E-2</v>
      </c>
      <c r="AB509" s="109">
        <f t="shared" si="381"/>
        <v>2.2698959222310508E-2</v>
      </c>
      <c r="AC509" s="109">
        <f t="shared" si="381"/>
        <v>2.3273122835141557E-2</v>
      </c>
      <c r="AD509" s="109">
        <f t="shared" si="381"/>
        <v>2.7238289362356741E-2</v>
      </c>
      <c r="AE509" s="109">
        <f t="shared" si="381"/>
        <v>3.0376483191255639E-2</v>
      </c>
      <c r="AF509" s="109">
        <f t="shared" si="381"/>
        <v>2.6293554726962143E-2</v>
      </c>
      <c r="AG509" s="109">
        <f t="shared" si="381"/>
        <v>2.1649235935588165E-2</v>
      </c>
      <c r="AH509" s="109">
        <f t="shared" si="381"/>
        <v>1.5142859508374523E-2</v>
      </c>
      <c r="AI509" s="109">
        <f t="shared" si="381"/>
        <v>1.2460344761686351E-2</v>
      </c>
      <c r="AJ509" s="109">
        <f t="shared" si="381"/>
        <v>1.2020887357465098E-2</v>
      </c>
      <c r="AK509" s="109">
        <f t="shared" si="381"/>
        <v>1.2007778317938745E-2</v>
      </c>
      <c r="AL509" s="109">
        <f t="shared" si="381"/>
        <v>1.4040039865954073E-2</v>
      </c>
      <c r="AM509" s="109">
        <f t="shared" si="381"/>
        <v>1.6299816313608467E-2</v>
      </c>
      <c r="AN509" s="109">
        <f t="shared" si="381"/>
        <v>1.8323631290291541E-2</v>
      </c>
      <c r="AO509" s="109">
        <f t="shared" si="381"/>
        <v>2.0208230157510346E-2</v>
      </c>
      <c r="AP509" s="109">
        <f t="shared" si="381"/>
        <v>1.8339191354039643E-2</v>
      </c>
      <c r="AQ509" s="109">
        <f t="shared" si="381"/>
        <v>1.5979063912121349E-2</v>
      </c>
      <c r="AR509" s="109">
        <f t="shared" si="381"/>
        <v>1.443727361317962E-2</v>
      </c>
      <c r="AS509" s="109">
        <f t="shared" si="381"/>
        <v>1.5064482168706409E-2</v>
      </c>
      <c r="AT509" s="109">
        <f t="shared" si="381"/>
        <v>1.6939977891989835E-2</v>
      </c>
      <c r="AU509" s="109">
        <f t="shared" si="381"/>
        <v>1.8765104053326615E-2</v>
      </c>
      <c r="AV509" s="109">
        <f t="shared" si="381"/>
        <v>2.2000804009100879E-2</v>
      </c>
      <c r="AW509" s="109">
        <f t="shared" si="381"/>
        <v>2.7497317753742517E-2</v>
      </c>
      <c r="AX509" s="109">
        <f t="shared" si="381"/>
        <v>3.6737781694672025E-2</v>
      </c>
      <c r="AZ509" s="142"/>
      <c r="BA509" s="142"/>
      <c r="BB509" s="142"/>
      <c r="BC509" s="72"/>
      <c r="BH509" s="13"/>
      <c r="BI509" s="13"/>
      <c r="BJ509" s="13"/>
      <c r="BK509" s="13"/>
    </row>
    <row r="510" spans="2:63" s="6" customFormat="1" hidden="1" outlineLevel="1" x14ac:dyDescent="0.2">
      <c r="B510" s="13"/>
      <c r="C510" s="117" t="s">
        <v>42</v>
      </c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>
        <f>R225/R184</f>
        <v>0.15419501133786848</v>
      </c>
      <c r="S510" s="85"/>
      <c r="T510" s="109">
        <f>T225/T184</f>
        <v>2.8483525208416037E-2</v>
      </c>
      <c r="U510" s="106"/>
      <c r="V510" s="109">
        <f t="shared" si="380"/>
        <v>3.3828382838283828E-2</v>
      </c>
      <c r="W510" s="109">
        <f t="shared" si="380"/>
        <v>3.4475363251300198E-2</v>
      </c>
      <c r="X510" s="109">
        <f t="shared" si="380"/>
        <v>3.6193145447310601E-2</v>
      </c>
      <c r="Y510" s="109"/>
      <c r="Z510" s="109">
        <f t="shared" ref="Z510:AX510" si="382">Z225/Z184</f>
        <v>4.3729491796718686E-2</v>
      </c>
      <c r="AA510" s="109">
        <f t="shared" si="382"/>
        <v>4.6118275064785934E-2</v>
      </c>
      <c r="AB510" s="109">
        <f t="shared" si="382"/>
        <v>4.2677012609117361E-2</v>
      </c>
      <c r="AC510" s="109">
        <f t="shared" si="382"/>
        <v>4.3302935309204899E-2</v>
      </c>
      <c r="AD510" s="109">
        <f t="shared" si="382"/>
        <v>5.2989053371901761E-2</v>
      </c>
      <c r="AE510" s="109">
        <f t="shared" si="382"/>
        <v>5.0428982544848178E-2</v>
      </c>
      <c r="AF510" s="109">
        <f t="shared" si="382"/>
        <v>3.7455273212444663E-2</v>
      </c>
      <c r="AG510" s="109">
        <f t="shared" si="382"/>
        <v>3.3006590242011406E-2</v>
      </c>
      <c r="AH510" s="109">
        <f t="shared" si="382"/>
        <v>3.2151088560579681E-2</v>
      </c>
      <c r="AI510" s="109">
        <f t="shared" si="382"/>
        <v>2.6188152485730341E-2</v>
      </c>
      <c r="AJ510" s="109">
        <f t="shared" si="382"/>
        <v>2.6458473033815499E-2</v>
      </c>
      <c r="AK510" s="109">
        <f t="shared" si="382"/>
        <v>2.8331288957869176E-2</v>
      </c>
      <c r="AL510" s="109">
        <f t="shared" si="382"/>
        <v>3.3378600089714203E-2</v>
      </c>
      <c r="AM510" s="109">
        <f t="shared" si="382"/>
        <v>3.6853638407467484E-2</v>
      </c>
      <c r="AN510" s="109">
        <f t="shared" si="382"/>
        <v>3.5117586719870246E-2</v>
      </c>
      <c r="AO510" s="109">
        <f t="shared" si="382"/>
        <v>3.5777806418352882E-2</v>
      </c>
      <c r="AP510" s="109">
        <f t="shared" si="382"/>
        <v>3.4306676727554018E-2</v>
      </c>
      <c r="AQ510" s="109">
        <f t="shared" si="382"/>
        <v>3.0952041816117853E-2</v>
      </c>
      <c r="AR510" s="109">
        <f t="shared" si="382"/>
        <v>2.3970894464722604E-2</v>
      </c>
      <c r="AS510" s="109">
        <f t="shared" si="382"/>
        <v>2.4882959386639335E-2</v>
      </c>
      <c r="AT510" s="109">
        <f t="shared" si="382"/>
        <v>2.6207576629139619E-2</v>
      </c>
      <c r="AU510" s="109">
        <f t="shared" si="382"/>
        <v>2.5279234870365652E-2</v>
      </c>
      <c r="AV510" s="109">
        <f t="shared" si="382"/>
        <v>2.6250456686027279E-2</v>
      </c>
      <c r="AW510" s="109">
        <f t="shared" si="382"/>
        <v>2.8926802047423865E-2</v>
      </c>
      <c r="AX510" s="109">
        <f t="shared" si="382"/>
        <v>3.3933143513000488E-2</v>
      </c>
      <c r="AZ510" s="141"/>
      <c r="BA510" s="143"/>
      <c r="BB510" s="142"/>
      <c r="BH510" s="13"/>
      <c r="BI510" s="13"/>
      <c r="BJ510" s="13"/>
      <c r="BK510" s="13"/>
    </row>
    <row r="511" spans="2:63" s="6" customFormat="1" hidden="1" outlineLevel="1" x14ac:dyDescent="0.2">
      <c r="B511" s="13"/>
      <c r="C511" s="117" t="s">
        <v>271</v>
      </c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>
        <f>(R226+R227)/(R185+R186)</f>
        <v>7.9159329550642407E-2</v>
      </c>
      <c r="S511" s="109">
        <f>(S226+S227)/(S185+S186)</f>
        <v>0</v>
      </c>
      <c r="T511" s="109">
        <f>(T226+T227)/(T185+T186)</f>
        <v>7.9367032967032972E-2</v>
      </c>
      <c r="U511" s="106"/>
      <c r="V511" s="109">
        <f>(V226+V227)/(V185+V186)</f>
        <v>8.4501295106979388E-2</v>
      </c>
      <c r="W511" s="109">
        <f>(W226+W227)/(W185+W186)</f>
        <v>7.493110170061168E-2</v>
      </c>
      <c r="X511" s="109">
        <f>(X226+X227)/(X185+X186)</f>
        <v>5.4187772411355875E-2</v>
      </c>
      <c r="Y511" s="109"/>
      <c r="Z511" s="109">
        <f t="shared" ref="Z511:AX511" si="383">(Z226+Z227)/(Z185+Z186)</f>
        <v>4.9995221484207007E-2</v>
      </c>
      <c r="AA511" s="109">
        <f t="shared" si="383"/>
        <v>5.4531835205992508E-2</v>
      </c>
      <c r="AB511" s="109">
        <f t="shared" si="383"/>
        <v>5.7482741735715728E-2</v>
      </c>
      <c r="AC511" s="109">
        <f t="shared" si="383"/>
        <v>6.0456853249646045E-2</v>
      </c>
      <c r="AD511" s="109">
        <f t="shared" si="383"/>
        <v>7.2219060266869028E-2</v>
      </c>
      <c r="AE511" s="109">
        <f t="shared" si="383"/>
        <v>7.8916980918773569E-2</v>
      </c>
      <c r="AF511" s="109">
        <f t="shared" si="383"/>
        <v>7.4716905346742676E-2</v>
      </c>
      <c r="AG511" s="109">
        <f t="shared" si="383"/>
        <v>6.9135220357463861E-2</v>
      </c>
      <c r="AH511" s="109">
        <f t="shared" si="383"/>
        <v>5.0966979140275315E-2</v>
      </c>
      <c r="AI511" s="109">
        <f t="shared" si="383"/>
        <v>5.9325933040001784E-2</v>
      </c>
      <c r="AJ511" s="109">
        <f t="shared" si="383"/>
        <v>7.0976106686423415E-2</v>
      </c>
      <c r="AK511" s="109">
        <f t="shared" si="383"/>
        <v>7.3255560313138735E-2</v>
      </c>
      <c r="AL511" s="109">
        <f t="shared" si="383"/>
        <v>7.2621805228427386E-2</v>
      </c>
      <c r="AM511" s="109">
        <f t="shared" si="383"/>
        <v>7.3325870517677236E-2</v>
      </c>
      <c r="AN511" s="109">
        <f t="shared" si="383"/>
        <v>7.2054822497939416E-2</v>
      </c>
      <c r="AO511" s="109">
        <f t="shared" si="383"/>
        <v>6.921112800862593E-2</v>
      </c>
      <c r="AP511" s="109">
        <f t="shared" si="383"/>
        <v>5.936903354850441E-2</v>
      </c>
      <c r="AQ511" s="109">
        <f t="shared" si="383"/>
        <v>5.8085656419291629E-2</v>
      </c>
      <c r="AR511" s="109">
        <f t="shared" si="383"/>
        <v>6.0490703188070982E-2</v>
      </c>
      <c r="AS511" s="109">
        <f t="shared" si="383"/>
        <v>4.7171288857436204E-2</v>
      </c>
      <c r="AT511" s="109">
        <f t="shared" si="383"/>
        <v>5.8263200998732584E-2</v>
      </c>
      <c r="AU511" s="109">
        <f t="shared" si="383"/>
        <v>7.5130050103311724E-2</v>
      </c>
      <c r="AV511" s="109">
        <f t="shared" si="383"/>
        <v>7.5468776554563133E-2</v>
      </c>
      <c r="AW511" s="109">
        <f t="shared" si="383"/>
        <v>8.0151197230575774E-2</v>
      </c>
      <c r="AX511" s="109">
        <f t="shared" si="383"/>
        <v>8.936494220582708E-2</v>
      </c>
      <c r="AZ511" s="144"/>
      <c r="BA511" s="142"/>
      <c r="BB511" s="142"/>
      <c r="BH511" s="13"/>
      <c r="BI511" s="13"/>
      <c r="BJ511" s="13"/>
      <c r="BK511" s="13"/>
    </row>
    <row r="512" spans="2:63" s="6" customFormat="1" hidden="1" outlineLevel="1" x14ac:dyDescent="0.2">
      <c r="B512" s="13"/>
      <c r="C512" s="117" t="s">
        <v>270</v>
      </c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>
        <f>(R224+R225)/(R183+R184)</f>
        <v>4.3594768627764666E-2</v>
      </c>
      <c r="S512" s="85"/>
      <c r="T512" s="109">
        <f>(T224+T225)/(T183+T184)</f>
        <v>1.9186969425081097E-2</v>
      </c>
      <c r="U512" s="106"/>
      <c r="V512" s="109">
        <f>(V224+V225)/(V183+V184)</f>
        <v>2.8407443415374645E-2</v>
      </c>
      <c r="W512" s="109">
        <f>(W224+W225)/(W183+W184)</f>
        <v>2.8688069758224338E-2</v>
      </c>
      <c r="X512" s="109">
        <f>(X224+X225)/(X183+X184)</f>
        <v>2.8716890472137914E-2</v>
      </c>
      <c r="Y512" s="109"/>
      <c r="Z512" s="109">
        <f t="shared" ref="Z512:AX512" si="384">(Z224+Z225)/(Z183+Z184)</f>
        <v>3.1346015342632295E-2</v>
      </c>
      <c r="AA512" s="109">
        <f t="shared" si="384"/>
        <v>3.2284563692064436E-2</v>
      </c>
      <c r="AB512" s="109">
        <f t="shared" si="384"/>
        <v>3.0696103865544243E-2</v>
      </c>
      <c r="AC512" s="109">
        <f t="shared" si="384"/>
        <v>3.1306613936529525E-2</v>
      </c>
      <c r="AD512" s="109">
        <f t="shared" si="384"/>
        <v>3.7643526688515574E-2</v>
      </c>
      <c r="AE512" s="109">
        <f t="shared" si="384"/>
        <v>3.8457994829632601E-2</v>
      </c>
      <c r="AF512" s="109">
        <f t="shared" si="384"/>
        <v>3.110316676335774E-2</v>
      </c>
      <c r="AG512" s="109">
        <f t="shared" si="384"/>
        <v>2.6719142455946046E-2</v>
      </c>
      <c r="AH512" s="109">
        <f t="shared" si="384"/>
        <v>2.3641161387069648E-2</v>
      </c>
      <c r="AI512" s="109">
        <f t="shared" si="384"/>
        <v>1.9438712805421192E-2</v>
      </c>
      <c r="AJ512" s="109">
        <f t="shared" si="384"/>
        <v>1.9623999461895473E-2</v>
      </c>
      <c r="AK512" s="109">
        <f t="shared" si="384"/>
        <v>2.0593986397961669E-2</v>
      </c>
      <c r="AL512" s="109">
        <f t="shared" si="384"/>
        <v>2.4119267230335639E-2</v>
      </c>
      <c r="AM512" s="109">
        <f t="shared" si="384"/>
        <v>2.7072904422951856E-2</v>
      </c>
      <c r="AN512" s="109">
        <f t="shared" si="384"/>
        <v>2.7195020582085783E-2</v>
      </c>
      <c r="AO512" s="109">
        <f t="shared" si="384"/>
        <v>2.8378502675532807E-2</v>
      </c>
      <c r="AP512" s="109">
        <f t="shared" si="384"/>
        <v>2.6353398502258048E-2</v>
      </c>
      <c r="AQ512" s="109">
        <f t="shared" si="384"/>
        <v>2.3304333136244616E-2</v>
      </c>
      <c r="AR512" s="109">
        <f t="shared" si="384"/>
        <v>1.9028354746031231E-2</v>
      </c>
      <c r="AS512" s="109">
        <f t="shared" si="384"/>
        <v>1.9772564988159064E-2</v>
      </c>
      <c r="AT512" s="109">
        <f t="shared" si="384"/>
        <v>2.1242954753223683E-2</v>
      </c>
      <c r="AU512" s="109">
        <f t="shared" si="384"/>
        <v>2.1548987612086741E-2</v>
      </c>
      <c r="AV512" s="109">
        <f t="shared" si="384"/>
        <v>2.3796327358119047E-2</v>
      </c>
      <c r="AW512" s="109">
        <f t="shared" si="384"/>
        <v>2.809245828173831E-2</v>
      </c>
      <c r="AX512" s="109">
        <f t="shared" si="384"/>
        <v>3.5576459513369879E-2</v>
      </c>
      <c r="AZ512" s="142"/>
      <c r="BA512" s="142"/>
      <c r="BB512" s="142"/>
      <c r="BH512" s="13"/>
      <c r="BI512" s="13"/>
      <c r="BJ512" s="13"/>
      <c r="BK512" s="13"/>
    </row>
    <row r="513" spans="2:63" collapsed="1" x14ac:dyDescent="0.2">
      <c r="C513" s="9" t="s">
        <v>140</v>
      </c>
      <c r="D513" s="26"/>
      <c r="E513" s="26"/>
      <c r="F513" s="26" t="e">
        <f>-F202/F223</f>
        <v>#DIV/0!</v>
      </c>
      <c r="G513" s="26"/>
      <c r="H513" s="26" t="e">
        <f>-H202/H223</f>
        <v>#DIV/0!</v>
      </c>
      <c r="I513" s="26"/>
      <c r="J513" s="26" t="e">
        <f>-J202/J223</f>
        <v>#DIV/0!</v>
      </c>
      <c r="K513" s="26"/>
      <c r="L513" s="26" t="e">
        <f>-L202/L223</f>
        <v>#DIV/0!</v>
      </c>
      <c r="M513" s="26"/>
      <c r="N513" s="26" t="e">
        <f>-N202/N223</f>
        <v>#DIV/0!</v>
      </c>
      <c r="O513" s="26"/>
      <c r="P513" s="26">
        <f>-P202/P223</f>
        <v>1.0268690275435639</v>
      </c>
      <c r="Q513" s="26"/>
      <c r="R513" s="26">
        <f>-R202/R223</f>
        <v>1.1176143730320429</v>
      </c>
      <c r="S513" s="35"/>
      <c r="T513" s="26" t="e">
        <f>-T202/T223</f>
        <v>#DIV/0!</v>
      </c>
      <c r="U513" s="35"/>
      <c r="V513" s="26">
        <f t="shared" ref="V513:AX513" si="385">-V202/V223</f>
        <v>1.6754520380018387</v>
      </c>
      <c r="W513" s="26">
        <f t="shared" si="385"/>
        <v>1.7449906073888541</v>
      </c>
      <c r="X513" s="26">
        <f t="shared" si="385"/>
        <v>1.8439015939015939</v>
      </c>
      <c r="Y513" s="26">
        <f t="shared" si="385"/>
        <v>0</v>
      </c>
      <c r="Z513" s="26">
        <f t="shared" si="385"/>
        <v>1.733265866705219</v>
      </c>
      <c r="AA513" s="26">
        <f t="shared" si="385"/>
        <v>1.601883986117997</v>
      </c>
      <c r="AB513" s="26">
        <f t="shared" si="385"/>
        <v>1.6034191879428636</v>
      </c>
      <c r="AC513" s="26">
        <f t="shared" si="385"/>
        <v>1.6911628861746895</v>
      </c>
      <c r="AD513" s="26">
        <f t="shared" si="385"/>
        <v>1.6750490154292046</v>
      </c>
      <c r="AE513" s="26">
        <f t="shared" si="385"/>
        <v>1.6344745988316203</v>
      </c>
      <c r="AF513" s="26">
        <f t="shared" si="385"/>
        <v>1.7892798370033696</v>
      </c>
      <c r="AG513" s="26">
        <f t="shared" si="385"/>
        <v>1.7605143966353931</v>
      </c>
      <c r="AH513" s="26">
        <f t="shared" si="385"/>
        <v>1.7045654975917508</v>
      </c>
      <c r="AI513" s="26">
        <f t="shared" si="385"/>
        <v>1.5419960767996195</v>
      </c>
      <c r="AJ513" s="26">
        <f t="shared" si="385"/>
        <v>1.5509421611259175</v>
      </c>
      <c r="AK513" s="26">
        <f t="shared" si="385"/>
        <v>1.5814579472244286</v>
      </c>
      <c r="AL513" s="26">
        <f t="shared" si="385"/>
        <v>1.592750975670514</v>
      </c>
      <c r="AM513" s="26">
        <f t="shared" si="385"/>
        <v>1.5518528392428685</v>
      </c>
      <c r="AN513" s="26">
        <f t="shared" si="385"/>
        <v>1.62792820200791</v>
      </c>
      <c r="AO513" s="26">
        <f t="shared" si="385"/>
        <v>1.6304510996021917</v>
      </c>
      <c r="AP513" s="26">
        <f t="shared" si="385"/>
        <v>1.7392598551890588</v>
      </c>
      <c r="AQ513" s="26">
        <f t="shared" si="385"/>
        <v>1.7196178806078439</v>
      </c>
      <c r="AR513" s="26">
        <f t="shared" si="385"/>
        <v>1.6774748120901968</v>
      </c>
      <c r="AS513" s="26">
        <f t="shared" si="385"/>
        <v>1.5629702844024997</v>
      </c>
      <c r="AT513" s="26">
        <f t="shared" si="385"/>
        <v>1.5713989905526078</v>
      </c>
      <c r="AU513" s="26">
        <f t="shared" si="385"/>
        <v>1.5301372462209855</v>
      </c>
      <c r="AV513" s="26">
        <f t="shared" si="385"/>
        <v>1.4965879692815385</v>
      </c>
      <c r="AW513" s="26">
        <f t="shared" si="385"/>
        <v>1.4926526572255217</v>
      </c>
      <c r="AX513" s="26">
        <f t="shared" si="385"/>
        <v>1.5141380254689853</v>
      </c>
      <c r="AZ513" s="30"/>
      <c r="BA513" s="43"/>
      <c r="BB513" s="43"/>
      <c r="BC513" s="9"/>
      <c r="BD513" s="9"/>
      <c r="BE513" s="9"/>
      <c r="BF513" s="9"/>
      <c r="BG513" s="9"/>
      <c r="BH513" s="9"/>
    </row>
    <row r="514" spans="2:63" s="32" customFormat="1" hidden="1" outlineLevel="1" x14ac:dyDescent="0.2">
      <c r="B514" s="44"/>
      <c r="C514" s="117" t="s">
        <v>235</v>
      </c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>
        <f>-R205/R226</f>
        <v>1.1415116552860842</v>
      </c>
      <c r="S514" s="109"/>
      <c r="T514" s="109">
        <f>-T205/T226</f>
        <v>1.1221393674466444</v>
      </c>
      <c r="U514" s="109"/>
      <c r="V514" s="109">
        <f t="shared" ref="V514:X515" si="386">-V205/V226</f>
        <v>1.32300998208344</v>
      </c>
      <c r="W514" s="109">
        <f t="shared" si="386"/>
        <v>1.3244408515225006</v>
      </c>
      <c r="X514" s="109">
        <f t="shared" si="386"/>
        <v>1.4161667192927061</v>
      </c>
      <c r="Y514" s="109"/>
      <c r="Z514" s="109">
        <f t="shared" ref="Z514:AX514" si="387">-Z205/Z226</f>
        <v>1.4151329243353783</v>
      </c>
      <c r="AA514" s="109">
        <f t="shared" si="387"/>
        <v>1.4033280507131538</v>
      </c>
      <c r="AB514" s="109">
        <f t="shared" si="387"/>
        <v>1.3431839847473785</v>
      </c>
      <c r="AC514" s="109">
        <f t="shared" si="387"/>
        <v>1.4245001149161112</v>
      </c>
      <c r="AD514" s="109">
        <f t="shared" si="387"/>
        <v>1.4345776031434185</v>
      </c>
      <c r="AE514" s="109">
        <f t="shared" si="387"/>
        <v>1.3131939908556498</v>
      </c>
      <c r="AF514" s="109">
        <f t="shared" si="387"/>
        <v>1.3963465728171611</v>
      </c>
      <c r="AG514" s="109">
        <f t="shared" si="387"/>
        <v>1.4131220940244533</v>
      </c>
      <c r="AH514" s="109">
        <f t="shared" si="387"/>
        <v>1.5593744317148572</v>
      </c>
      <c r="AI514" s="109">
        <f t="shared" si="387"/>
        <v>1.4303527481542249</v>
      </c>
      <c r="AJ514" s="109">
        <f t="shared" si="387"/>
        <v>1.5033387475184985</v>
      </c>
      <c r="AK514" s="109">
        <f t="shared" si="387"/>
        <v>1.5090985678180286</v>
      </c>
      <c r="AL514" s="109">
        <f t="shared" si="387"/>
        <v>1.5174618396867259</v>
      </c>
      <c r="AM514" s="109">
        <f t="shared" si="387"/>
        <v>1.5276524133710701</v>
      </c>
      <c r="AN514" s="109">
        <f t="shared" si="387"/>
        <v>1.6112606905289832</v>
      </c>
      <c r="AO514" s="109">
        <f t="shared" si="387"/>
        <v>1.7092975035249234</v>
      </c>
      <c r="AP514" s="109">
        <f t="shared" si="387"/>
        <v>1.9637481644640236</v>
      </c>
      <c r="AQ514" s="109">
        <f t="shared" si="387"/>
        <v>1.8713559775341</v>
      </c>
      <c r="AR514" s="109">
        <f t="shared" si="387"/>
        <v>1.7024502171597149</v>
      </c>
      <c r="AS514" s="109">
        <f t="shared" si="387"/>
        <v>1.5365942028985506</v>
      </c>
      <c r="AT514" s="109">
        <f t="shared" si="387"/>
        <v>1.565633696523749</v>
      </c>
      <c r="AU514" s="109">
        <f t="shared" si="387"/>
        <v>1.4658389576641282</v>
      </c>
      <c r="AV514" s="109">
        <f t="shared" si="387"/>
        <v>1.4196905866109675</v>
      </c>
      <c r="AW514" s="109">
        <f t="shared" si="387"/>
        <v>1.4072217642209399</v>
      </c>
      <c r="AX514" s="109">
        <f t="shared" si="387"/>
        <v>1.3947134211463155</v>
      </c>
      <c r="BA514" s="109"/>
      <c r="BB514" s="44"/>
      <c r="BC514" s="44"/>
      <c r="BD514" s="44"/>
      <c r="BE514" s="44"/>
      <c r="BF514" s="44"/>
      <c r="BG514" s="44"/>
      <c r="BH514" s="44"/>
    </row>
    <row r="515" spans="2:63" s="107" customFormat="1" hidden="1" outlineLevel="1" x14ac:dyDescent="0.2">
      <c r="B515" s="85"/>
      <c r="C515" s="117" t="s">
        <v>236</v>
      </c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>
        <f>-R206/R227</f>
        <v>1.3634868421052631</v>
      </c>
      <c r="S515" s="137"/>
      <c r="T515" s="109">
        <f>-T206/T227</f>
        <v>1.7296</v>
      </c>
      <c r="U515" s="138"/>
      <c r="V515" s="109">
        <f t="shared" si="386"/>
        <v>1.5350467289719627</v>
      </c>
      <c r="W515" s="109">
        <f t="shared" si="386"/>
        <v>1.660427807486631</v>
      </c>
      <c r="X515" s="109">
        <f t="shared" si="386"/>
        <v>2.4541910331384016</v>
      </c>
      <c r="Y515" s="109"/>
      <c r="Z515" s="109">
        <f t="shared" ref="Z515:AX515" si="388">-Z206/Z227</f>
        <v>2.0997375328083989</v>
      </c>
      <c r="AA515" s="109">
        <f t="shared" si="388"/>
        <v>1.5343511450381679</v>
      </c>
      <c r="AB515" s="109">
        <f t="shared" si="388"/>
        <v>1.4701284198771636</v>
      </c>
      <c r="AC515" s="109">
        <f t="shared" si="388"/>
        <v>1.6481087972800681</v>
      </c>
      <c r="AD515" s="109">
        <f t="shared" si="388"/>
        <v>1.5099862258953167</v>
      </c>
      <c r="AE515" s="109">
        <f t="shared" si="388"/>
        <v>1.5089065497396548</v>
      </c>
      <c r="AF515" s="109">
        <f t="shared" si="388"/>
        <v>1.6767404209390178</v>
      </c>
      <c r="AG515" s="109">
        <f t="shared" si="388"/>
        <v>1.695554934302488</v>
      </c>
      <c r="AH515" s="109">
        <f t="shared" si="388"/>
        <v>1.9086502609992544</v>
      </c>
      <c r="AI515" s="109">
        <f t="shared" si="388"/>
        <v>1.501113275814083</v>
      </c>
      <c r="AJ515" s="109">
        <f t="shared" si="388"/>
        <v>1.5475494969165855</v>
      </c>
      <c r="AK515" s="109">
        <f t="shared" si="388"/>
        <v>1.6817238627294493</v>
      </c>
      <c r="AL515" s="109">
        <f t="shared" si="388"/>
        <v>1.789447972642892</v>
      </c>
      <c r="AM515" s="109">
        <f t="shared" si="388"/>
        <v>1.7559994037859592</v>
      </c>
      <c r="AN515" s="109">
        <f t="shared" si="388"/>
        <v>1.7956235096086408</v>
      </c>
      <c r="AO515" s="109">
        <f t="shared" si="388"/>
        <v>1.6043927310759576</v>
      </c>
      <c r="AP515" s="109">
        <f t="shared" si="388"/>
        <v>1.61365998515219</v>
      </c>
      <c r="AQ515" s="109">
        <f t="shared" si="388"/>
        <v>1.6112755022582153</v>
      </c>
      <c r="AR515" s="109">
        <f t="shared" si="388"/>
        <v>1.6249629848978384</v>
      </c>
      <c r="AS515" s="109">
        <f t="shared" si="388"/>
        <v>1.5749106687085248</v>
      </c>
      <c r="AT515" s="109">
        <f t="shared" si="388"/>
        <v>1.5422259803403446</v>
      </c>
      <c r="AU515" s="109">
        <f t="shared" si="388"/>
        <v>1.3906005221932114</v>
      </c>
      <c r="AV515" s="109">
        <f t="shared" si="388"/>
        <v>1.3761413089854082</v>
      </c>
      <c r="AW515" s="109">
        <f t="shared" si="388"/>
        <v>1.343278606550546</v>
      </c>
      <c r="AX515" s="109">
        <f t="shared" si="388"/>
        <v>1.3666747201417411</v>
      </c>
      <c r="BB515" s="111"/>
      <c r="BH515" s="85"/>
      <c r="BI515" s="85"/>
      <c r="BJ515" s="85"/>
      <c r="BK515" s="85"/>
    </row>
    <row r="516" spans="2:63" s="107" customFormat="1" hidden="1" outlineLevel="1" x14ac:dyDescent="0.2">
      <c r="B516" s="85"/>
      <c r="C516" s="117" t="s">
        <v>243</v>
      </c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>
        <f>-R203/R224</f>
        <v>0</v>
      </c>
      <c r="S516" s="137"/>
      <c r="T516" s="109">
        <f>-T203/T224</f>
        <v>1.2540272614622057</v>
      </c>
      <c r="U516" s="138"/>
      <c r="V516" s="109">
        <f t="shared" ref="V516:X517" si="389">-V203/V224</f>
        <v>1.5746173469387754</v>
      </c>
      <c r="W516" s="109">
        <f t="shared" si="389"/>
        <v>1.7130177514792899</v>
      </c>
      <c r="X516" s="109">
        <f t="shared" si="389"/>
        <v>1.7158628704241721</v>
      </c>
      <c r="Y516" s="109"/>
      <c r="Z516" s="109">
        <f t="shared" ref="Z516:AX516" si="390">-Z203/Z224</f>
        <v>1.5795228628230615</v>
      </c>
      <c r="AA516" s="109">
        <f t="shared" si="390"/>
        <v>1.4554323725055431</v>
      </c>
      <c r="AB516" s="109">
        <f t="shared" si="390"/>
        <v>1.5004321521175454</v>
      </c>
      <c r="AC516" s="109">
        <f t="shared" si="390"/>
        <v>1.4542845428454285</v>
      </c>
      <c r="AD516" s="109">
        <f t="shared" si="390"/>
        <v>1.6501941404871161</v>
      </c>
      <c r="AE516" s="109">
        <f t="shared" si="390"/>
        <v>1.5185295875672444</v>
      </c>
      <c r="AF516" s="109">
        <f t="shared" si="390"/>
        <v>1.6887879846315055</v>
      </c>
      <c r="AG516" s="109">
        <f t="shared" si="390"/>
        <v>1.7174092409240924</v>
      </c>
      <c r="AH516" s="109">
        <f t="shared" si="390"/>
        <v>1.7036632039365773</v>
      </c>
      <c r="AI516" s="109">
        <f t="shared" si="390"/>
        <v>1.983435582822086</v>
      </c>
      <c r="AJ516" s="109">
        <f t="shared" si="390"/>
        <v>1.8871158392434988</v>
      </c>
      <c r="AK516" s="109">
        <f t="shared" si="390"/>
        <v>1.907460960092539</v>
      </c>
      <c r="AL516" s="109">
        <f t="shared" si="390"/>
        <v>1.7741781800857552</v>
      </c>
      <c r="AM516" s="109">
        <f t="shared" si="390"/>
        <v>1.5057692307692307</v>
      </c>
      <c r="AN516" s="109">
        <f t="shared" si="390"/>
        <v>1.3810305218247456</v>
      </c>
      <c r="AO516" s="109">
        <f t="shared" si="390"/>
        <v>1.2749295774647886</v>
      </c>
      <c r="AP516" s="109">
        <f t="shared" si="390"/>
        <v>1.2299869621903521</v>
      </c>
      <c r="AQ516" s="109">
        <f t="shared" si="390"/>
        <v>1.2783958602846055</v>
      </c>
      <c r="AR516" s="109">
        <f t="shared" si="390"/>
        <v>1.1462047885888946</v>
      </c>
      <c r="AS516" s="109">
        <f t="shared" si="390"/>
        <v>1.0646429351386766</v>
      </c>
      <c r="AT516" s="109">
        <f t="shared" si="390"/>
        <v>1.0073999327278842</v>
      </c>
      <c r="AU516" s="109">
        <f t="shared" si="390"/>
        <v>1.059326171875</v>
      </c>
      <c r="AV516" s="109">
        <f t="shared" si="390"/>
        <v>0.9450875346790395</v>
      </c>
      <c r="AW516" s="109">
        <f t="shared" si="390"/>
        <v>0.89609817032845906</v>
      </c>
      <c r="AX516" s="109">
        <f t="shared" si="390"/>
        <v>0.86774227788982061</v>
      </c>
      <c r="BH516" s="85"/>
      <c r="BI516" s="85"/>
      <c r="BJ516" s="85"/>
      <c r="BK516" s="85"/>
    </row>
    <row r="517" spans="2:63" s="107" customFormat="1" hidden="1" outlineLevel="1" x14ac:dyDescent="0.2">
      <c r="B517" s="85"/>
      <c r="C517" s="117" t="s">
        <v>42</v>
      </c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>
        <f>-R204/R225</f>
        <v>0.65625</v>
      </c>
      <c r="S517" s="137"/>
      <c r="T517" s="109">
        <f>-T204/T225</f>
        <v>0.81300813008130079</v>
      </c>
      <c r="U517" s="138"/>
      <c r="V517" s="109">
        <f t="shared" si="389"/>
        <v>1.1242200794100965</v>
      </c>
      <c r="W517" s="109">
        <f t="shared" si="389"/>
        <v>1.0860549507516848</v>
      </c>
      <c r="X517" s="109">
        <f t="shared" si="389"/>
        <v>0.9302103250478011</v>
      </c>
      <c r="Y517" s="109"/>
      <c r="Z517" s="109">
        <f t="shared" ref="Z517:AX517" si="391">-Z204/Z225</f>
        <v>0.86639824304538804</v>
      </c>
      <c r="AA517" s="109">
        <f t="shared" si="391"/>
        <v>0.78028263795423958</v>
      </c>
      <c r="AB517" s="109">
        <f t="shared" si="391"/>
        <v>0.86604683195592291</v>
      </c>
      <c r="AC517" s="109">
        <f t="shared" si="391"/>
        <v>0.93912471207634085</v>
      </c>
      <c r="AD517" s="109">
        <f t="shared" si="391"/>
        <v>0.87985014717687982</v>
      </c>
      <c r="AE517" s="109">
        <f t="shared" si="391"/>
        <v>0.9264</v>
      </c>
      <c r="AF517" s="109">
        <f t="shared" si="391"/>
        <v>1.1178756476683938</v>
      </c>
      <c r="AG517" s="109">
        <f t="shared" si="391"/>
        <v>1.1184563758389261</v>
      </c>
      <c r="AH517" s="109">
        <f t="shared" si="391"/>
        <v>0.82465188241361531</v>
      </c>
      <c r="AI517" s="109">
        <f t="shared" si="391"/>
        <v>0.90429136081309991</v>
      </c>
      <c r="AJ517" s="109">
        <f t="shared" si="391"/>
        <v>0.91262370263094372</v>
      </c>
      <c r="AK517" s="109">
        <f t="shared" si="391"/>
        <v>0.90390987408880052</v>
      </c>
      <c r="AL517" s="109">
        <f t="shared" si="391"/>
        <v>0.85824742268041232</v>
      </c>
      <c r="AM517" s="109">
        <f t="shared" si="391"/>
        <v>0.78455598455598452</v>
      </c>
      <c r="AN517" s="109">
        <f t="shared" si="391"/>
        <v>0.83376663098333081</v>
      </c>
      <c r="AO517" s="109">
        <f t="shared" si="391"/>
        <v>0.87002881844380409</v>
      </c>
      <c r="AP517" s="109">
        <f t="shared" si="391"/>
        <v>0.86540323696223542</v>
      </c>
      <c r="AQ517" s="109">
        <f t="shared" si="391"/>
        <v>0.89025240552224238</v>
      </c>
      <c r="AR517" s="109">
        <f t="shared" si="391"/>
        <v>0.94252683732452514</v>
      </c>
      <c r="AS517" s="109">
        <f t="shared" si="391"/>
        <v>0.91260045924225031</v>
      </c>
      <c r="AT517" s="109">
        <f t="shared" si="391"/>
        <v>0.87006145741878838</v>
      </c>
      <c r="AU517" s="109">
        <f t="shared" si="391"/>
        <v>0.88744536182612921</v>
      </c>
      <c r="AV517" s="109">
        <f t="shared" si="391"/>
        <v>0.80668493150684928</v>
      </c>
      <c r="AW517" s="109">
        <f t="shared" si="391"/>
        <v>0.72767332549941244</v>
      </c>
      <c r="AX517" s="109">
        <f t="shared" si="391"/>
        <v>0.66094804455646805</v>
      </c>
      <c r="BH517" s="85"/>
      <c r="BI517" s="85"/>
      <c r="BJ517" s="85"/>
      <c r="BK517" s="85"/>
    </row>
    <row r="518" spans="2:63" s="107" customFormat="1" hidden="1" outlineLevel="1" x14ac:dyDescent="0.2">
      <c r="B518" s="85"/>
      <c r="C518" s="117" t="s">
        <v>271</v>
      </c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>
        <f>-(R205+R206)/(R226+R227)</f>
        <v>1.1693099897013388</v>
      </c>
      <c r="S518" s="137"/>
      <c r="T518" s="109">
        <f>-(T205+T206)/(T226+T227)</f>
        <v>1.2062472308373948</v>
      </c>
      <c r="U518" s="138"/>
      <c r="V518" s="109">
        <f>-(V205+V206)/(V226+V227)</f>
        <v>1.3611169431030863</v>
      </c>
      <c r="W518" s="109">
        <f>-(W205+W206)/(W226+W227)</f>
        <v>1.3808028705987889</v>
      </c>
      <c r="X518" s="109">
        <f>-(X205+X206)/(X226+X227)</f>
        <v>1.5608695652173914</v>
      </c>
      <c r="Y518" s="109"/>
      <c r="Z518" s="109">
        <f t="shared" ref="Z518:AX518" si="392">-(Z205+Z206)/(Z226+Z227)</f>
        <v>1.5397849462365591</v>
      </c>
      <c r="AA518" s="109">
        <f t="shared" si="392"/>
        <v>1.4370094191522762</v>
      </c>
      <c r="AB518" s="109">
        <f t="shared" si="392"/>
        <v>1.3811591782194754</v>
      </c>
      <c r="AC518" s="109">
        <f t="shared" si="392"/>
        <v>1.5029832935560858</v>
      </c>
      <c r="AD518" s="109">
        <f t="shared" si="392"/>
        <v>1.4619714786089568</v>
      </c>
      <c r="AE518" s="109">
        <f t="shared" si="392"/>
        <v>1.3862682901872505</v>
      </c>
      <c r="AF518" s="109">
        <f t="shared" si="392"/>
        <v>1.5037733898480306</v>
      </c>
      <c r="AG518" s="109">
        <f t="shared" si="392"/>
        <v>1.5207800511508951</v>
      </c>
      <c r="AH518" s="109">
        <f t="shared" si="392"/>
        <v>1.7318420325876829</v>
      </c>
      <c r="AI518" s="109">
        <f t="shared" si="392"/>
        <v>1.4686394096830058</v>
      </c>
      <c r="AJ518" s="109">
        <f t="shared" si="392"/>
        <v>1.5191370911621433</v>
      </c>
      <c r="AK518" s="109">
        <f t="shared" si="392"/>
        <v>1.5687344913151364</v>
      </c>
      <c r="AL518" s="109">
        <f t="shared" si="392"/>
        <v>1.6070011793717165</v>
      </c>
      <c r="AM518" s="109">
        <f t="shared" si="392"/>
        <v>1.605095541401274</v>
      </c>
      <c r="AN518" s="109">
        <f t="shared" si="392"/>
        <v>1.6777850888292758</v>
      </c>
      <c r="AO518" s="109">
        <f t="shared" si="392"/>
        <v>1.6685780980412057</v>
      </c>
      <c r="AP518" s="109">
        <f t="shared" si="392"/>
        <v>1.8300153139356814</v>
      </c>
      <c r="AQ518" s="109">
        <f t="shared" si="392"/>
        <v>1.7766753600181426</v>
      </c>
      <c r="AR518" s="109">
        <f t="shared" si="392"/>
        <v>1.6748430658859523</v>
      </c>
      <c r="AS518" s="109">
        <f t="shared" si="392"/>
        <v>1.5489014592556156</v>
      </c>
      <c r="AT518" s="109">
        <f t="shared" si="392"/>
        <v>1.5584110625529972</v>
      </c>
      <c r="AU518" s="109">
        <f t="shared" si="392"/>
        <v>1.4437839630583973</v>
      </c>
      <c r="AV518" s="109">
        <f t="shared" si="392"/>
        <v>1.4069208827503379</v>
      </c>
      <c r="AW518" s="109">
        <f t="shared" si="392"/>
        <v>1.3890936584443814</v>
      </c>
      <c r="AX518" s="109">
        <f t="shared" si="392"/>
        <v>1.3871653116531166</v>
      </c>
      <c r="BH518" s="85"/>
      <c r="BI518" s="85"/>
      <c r="BJ518" s="85"/>
      <c r="BK518" s="85"/>
    </row>
    <row r="519" spans="2:63" s="107" customFormat="1" hidden="1" outlineLevel="1" x14ac:dyDescent="0.2">
      <c r="B519" s="85"/>
      <c r="C519" s="117" t="s">
        <v>270</v>
      </c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>
        <f>-(R203+R204)/(R224+R225)</f>
        <v>0.3275229357798165</v>
      </c>
      <c r="S519" s="137"/>
      <c r="T519" s="109">
        <f>-(T203+T204)/(T224+T225)</f>
        <v>1.0263788968824941</v>
      </c>
      <c r="U519" s="138"/>
      <c r="V519" s="109">
        <f>-(V203+V204)/(V224+V225)</f>
        <v>1.3362353647553287</v>
      </c>
      <c r="W519" s="109">
        <f>-(W203+W204)/(W224+W225)</f>
        <v>1.3788339320254215</v>
      </c>
      <c r="X519" s="109">
        <f>-(X203+X204)/(X224+X225)</f>
        <v>1.2848151062155784</v>
      </c>
      <c r="Y519" s="109"/>
      <c r="Z519" s="109">
        <f t="shared" ref="Z519:AX519" si="393">-(Z203+Z204)/(Z224+Z225)</f>
        <v>1.1688448566610454</v>
      </c>
      <c r="AA519" s="109">
        <f t="shared" si="393"/>
        <v>1.071551559211785</v>
      </c>
      <c r="AB519" s="109">
        <f t="shared" si="393"/>
        <v>1.1473744729781525</v>
      </c>
      <c r="AC519" s="109">
        <f t="shared" si="393"/>
        <v>1.1684921504198613</v>
      </c>
      <c r="AD519" s="109">
        <f t="shared" si="393"/>
        <v>1.2120243531202435</v>
      </c>
      <c r="AE519" s="109">
        <f t="shared" si="393"/>
        <v>1.205608793686584</v>
      </c>
      <c r="AF519" s="109">
        <f t="shared" si="393"/>
        <v>1.3925390690640229</v>
      </c>
      <c r="AG519" s="109">
        <f t="shared" si="393"/>
        <v>1.3871206513693561</v>
      </c>
      <c r="AH519" s="109">
        <f t="shared" si="393"/>
        <v>1.1063606097774663</v>
      </c>
      <c r="AI519" s="109">
        <f t="shared" si="393"/>
        <v>1.2443928847641144</v>
      </c>
      <c r="AJ519" s="109">
        <f t="shared" si="393"/>
        <v>1.1952013710368465</v>
      </c>
      <c r="AK519" s="109">
        <f t="shared" si="393"/>
        <v>1.1812659846547315</v>
      </c>
      <c r="AL519" s="109">
        <f t="shared" si="393"/>
        <v>1.1135307396096137</v>
      </c>
      <c r="AM519" s="109">
        <f t="shared" si="393"/>
        <v>0.99118457300275487</v>
      </c>
      <c r="AN519" s="109">
        <f t="shared" si="393"/>
        <v>1.0077195910703109</v>
      </c>
      <c r="AO519" s="109">
        <f t="shared" si="393"/>
        <v>1.0070543374642518</v>
      </c>
      <c r="AP519" s="109">
        <f t="shared" si="393"/>
        <v>0.99177512653651478</v>
      </c>
      <c r="AQ519" s="109">
        <f t="shared" si="393"/>
        <v>1.0261870242841609</v>
      </c>
      <c r="AR519" s="109">
        <f t="shared" si="393"/>
        <v>1.0226430217413085</v>
      </c>
      <c r="AS519" s="109">
        <f t="shared" si="393"/>
        <v>0.97289339222308824</v>
      </c>
      <c r="AT519" s="109">
        <f t="shared" si="393"/>
        <v>0.92873051224944325</v>
      </c>
      <c r="AU519" s="109">
        <f t="shared" si="393"/>
        <v>0.97315558802045288</v>
      </c>
      <c r="AV519" s="109">
        <f t="shared" si="393"/>
        <v>0.8805802431300439</v>
      </c>
      <c r="AW519" s="109">
        <f t="shared" si="393"/>
        <v>0.82389488266655475</v>
      </c>
      <c r="AX519" s="109">
        <f t="shared" si="393"/>
        <v>0.78606981150252075</v>
      </c>
      <c r="BH519" s="85"/>
      <c r="BI519" s="85"/>
      <c r="BJ519" s="85"/>
      <c r="BK519" s="85"/>
    </row>
    <row r="520" spans="2:63" collapsed="1" x14ac:dyDescent="0.2">
      <c r="C520" s="9"/>
      <c r="S520" s="9"/>
      <c r="U520" s="9"/>
      <c r="BA520" s="9"/>
      <c r="BB520" s="9"/>
      <c r="BC520" s="9"/>
      <c r="BD520" s="9"/>
      <c r="BE520" s="9"/>
      <c r="BF520" s="9"/>
      <c r="BG520" s="9"/>
      <c r="BH520" s="9"/>
    </row>
    <row r="521" spans="2:63" x14ac:dyDescent="0.2">
      <c r="C521" s="9" t="s">
        <v>141</v>
      </c>
      <c r="D521" s="26"/>
      <c r="E521" s="26"/>
      <c r="F521" s="26">
        <f>F228/F198</f>
        <v>0</v>
      </c>
      <c r="G521" s="26"/>
      <c r="H521" s="26">
        <f>H228/H198</f>
        <v>0</v>
      </c>
      <c r="I521" s="26"/>
      <c r="J521" s="26">
        <f>J228/J198</f>
        <v>0</v>
      </c>
      <c r="K521" s="26"/>
      <c r="L521" s="26">
        <f>L228/L198</f>
        <v>0</v>
      </c>
      <c r="M521" s="26"/>
      <c r="N521" s="26">
        <f>N228/N198</f>
        <v>0</v>
      </c>
      <c r="O521" s="26"/>
      <c r="P521" s="26">
        <f>P228/P198</f>
        <v>2.2882122914567714E-3</v>
      </c>
      <c r="Q521" s="26"/>
      <c r="R521" s="26">
        <f t="shared" ref="R521:AX521" si="394">R228/SUM(R195:R197)</f>
        <v>2.1056645692921153E-3</v>
      </c>
      <c r="S521" s="26">
        <f t="shared" si="394"/>
        <v>0</v>
      </c>
      <c r="T521" s="26">
        <f t="shared" si="394"/>
        <v>1.8612383559663531E-3</v>
      </c>
      <c r="U521" s="26">
        <f t="shared" si="394"/>
        <v>0</v>
      </c>
      <c r="V521" s="26">
        <f t="shared" si="394"/>
        <v>6.6490651435960986E-3</v>
      </c>
      <c r="W521" s="26">
        <f t="shared" si="394"/>
        <v>1.0880671318941717E-2</v>
      </c>
      <c r="X521" s="26">
        <f t="shared" si="394"/>
        <v>1.275701407880077E-2</v>
      </c>
      <c r="Y521" s="26">
        <f t="shared" si="394"/>
        <v>1.2627220115745361E-2</v>
      </c>
      <c r="Z521" s="26">
        <f t="shared" si="394"/>
        <v>1.3492190773783349E-2</v>
      </c>
      <c r="AA521" s="26">
        <f t="shared" si="394"/>
        <v>1.2743111831442463E-2</v>
      </c>
      <c r="AB521" s="26">
        <f t="shared" si="394"/>
        <v>1.3909028897712847E-2</v>
      </c>
      <c r="AC521" s="26">
        <f t="shared" si="394"/>
        <v>1.1903360658538715E-2</v>
      </c>
      <c r="AD521" s="26">
        <f t="shared" si="394"/>
        <v>1.0215727300752323E-2</v>
      </c>
      <c r="AE521" s="26">
        <f t="shared" si="394"/>
        <v>7.1865066315904853E-3</v>
      </c>
      <c r="AF521" s="26">
        <f t="shared" si="394"/>
        <v>6.0986039103967877E-3</v>
      </c>
      <c r="AG521" s="26">
        <f t="shared" si="394"/>
        <v>5.9802165312507691E-3</v>
      </c>
      <c r="AH521" s="26">
        <f t="shared" si="394"/>
        <v>7.090054132902323E-3</v>
      </c>
      <c r="AI521" s="26">
        <f t="shared" si="394"/>
        <v>6.7262855213605236E-3</v>
      </c>
      <c r="AJ521" s="26">
        <f t="shared" si="394"/>
        <v>8.0373078304964932E-3</v>
      </c>
      <c r="AK521" s="26">
        <f t="shared" si="394"/>
        <v>9.8542001534735225E-3</v>
      </c>
      <c r="AL521" s="26">
        <f t="shared" si="394"/>
        <v>2.3028573880212802E-2</v>
      </c>
      <c r="AM521" s="26">
        <f t="shared" si="394"/>
        <v>2.5047880976838199E-2</v>
      </c>
      <c r="AN521" s="26">
        <f t="shared" si="394"/>
        <v>2.5499836986794127E-2</v>
      </c>
      <c r="AO521" s="26">
        <f t="shared" si="394"/>
        <v>2.8573956630005986E-2</v>
      </c>
      <c r="AP521" s="26">
        <f t="shared" si="394"/>
        <v>3.294783417839306E-2</v>
      </c>
      <c r="AQ521" s="26">
        <f t="shared" si="394"/>
        <v>2.5222792968692308E-2</v>
      </c>
      <c r="AR521" s="26">
        <f t="shared" si="394"/>
        <v>2.4046395315669093E-2</v>
      </c>
      <c r="AS521" s="26">
        <f t="shared" si="394"/>
        <v>2.0109610357478862E-2</v>
      </c>
      <c r="AT521" s="26">
        <f t="shared" si="394"/>
        <v>2.419727406320589E-2</v>
      </c>
      <c r="AU521" s="26">
        <f t="shared" si="394"/>
        <v>1.4560898967253483E-2</v>
      </c>
      <c r="AV521" s="26">
        <f t="shared" si="394"/>
        <v>1.3859434732154981E-2</v>
      </c>
      <c r="AW521" s="26">
        <f t="shared" si="394"/>
        <v>2.5118994918249302E-2</v>
      </c>
      <c r="AX521" s="26">
        <f t="shared" si="394"/>
        <v>2.4947658523588261E-2</v>
      </c>
      <c r="AZ521" s="4" t="s">
        <v>368</v>
      </c>
      <c r="BA521" s="9"/>
      <c r="BB521" s="9"/>
      <c r="BC521" s="9"/>
      <c r="BD521" s="9"/>
      <c r="BE521" s="9"/>
      <c r="BF521" s="9"/>
      <c r="BG521" s="9"/>
      <c r="BH521" s="9"/>
    </row>
    <row r="522" spans="2:63" x14ac:dyDescent="0.2">
      <c r="C522" s="9" t="s">
        <v>142</v>
      </c>
      <c r="D522" s="26"/>
      <c r="E522" s="26"/>
      <c r="F522" s="26" t="e">
        <f>-F207/F228</f>
        <v>#DIV/0!</v>
      </c>
      <c r="G522" s="26"/>
      <c r="H522" s="26" t="e">
        <f>-H207/H228</f>
        <v>#DIV/0!</v>
      </c>
      <c r="I522" s="26"/>
      <c r="J522" s="26" t="e">
        <f>-J207/J228</f>
        <v>#DIV/0!</v>
      </c>
      <c r="K522" s="26"/>
      <c r="L522" s="26" t="e">
        <f>-L207/L228</f>
        <v>#DIV/0!</v>
      </c>
      <c r="M522" s="26"/>
      <c r="N522" s="26" t="e">
        <f>-N207/N228</f>
        <v>#DIV/0!</v>
      </c>
      <c r="O522" s="26"/>
      <c r="P522" s="26">
        <f>-P207/P228</f>
        <v>2.966417910447761</v>
      </c>
      <c r="Q522" s="26"/>
      <c r="R522" s="26">
        <f t="shared" ref="R522:AX522" si="395">-R208/R228</f>
        <v>6.6653543307086611</v>
      </c>
      <c r="S522" s="26" t="e">
        <f t="shared" si="395"/>
        <v>#DIV/0!</v>
      </c>
      <c r="T522" s="26">
        <f t="shared" si="395"/>
        <v>7.8689320388349513</v>
      </c>
      <c r="U522" s="26" t="e">
        <f t="shared" si="395"/>
        <v>#DIV/0!</v>
      </c>
      <c r="V522" s="26">
        <f t="shared" si="395"/>
        <v>4.0972447325769856</v>
      </c>
      <c r="W522" s="26">
        <f t="shared" si="395"/>
        <v>2.1614450549450548</v>
      </c>
      <c r="X522" s="26">
        <f t="shared" si="395"/>
        <v>2.1400099245732433</v>
      </c>
      <c r="Y522" s="26">
        <f t="shared" si="395"/>
        <v>2.1790188195416831</v>
      </c>
      <c r="Z522" s="26">
        <f t="shared" si="395"/>
        <v>2.6701656441717794</v>
      </c>
      <c r="AA522" s="26">
        <f t="shared" si="395"/>
        <v>2.997283783783784</v>
      </c>
      <c r="AB522" s="26">
        <f t="shared" si="395"/>
        <v>2.6722962000649559</v>
      </c>
      <c r="AC522" s="26">
        <f t="shared" si="395"/>
        <v>2.8826156299840511</v>
      </c>
      <c r="AD522" s="26">
        <f t="shared" si="395"/>
        <v>3.0728731942215086</v>
      </c>
      <c r="AE522" s="26">
        <f t="shared" si="395"/>
        <v>4.232125834127741</v>
      </c>
      <c r="AF522" s="26">
        <f t="shared" si="395"/>
        <v>4.2459770114942526</v>
      </c>
      <c r="AG522" s="26">
        <f t="shared" si="395"/>
        <v>4.1043380703066568</v>
      </c>
      <c r="AH522" s="26">
        <f t="shared" si="395"/>
        <v>3.3659860429051434</v>
      </c>
      <c r="AI522" s="26">
        <f t="shared" si="395"/>
        <v>4.1416100872938895</v>
      </c>
      <c r="AJ522" s="26">
        <f t="shared" si="395"/>
        <v>3.9738324550245321</v>
      </c>
      <c r="AK522" s="26">
        <f t="shared" si="395"/>
        <v>5.5228328793462582</v>
      </c>
      <c r="AL522" s="26">
        <f t="shared" si="395"/>
        <v>2.1028012509148977</v>
      </c>
      <c r="AM522" s="26">
        <f t="shared" si="395"/>
        <v>1.949359720605355</v>
      </c>
      <c r="AN522" s="26">
        <f t="shared" si="395"/>
        <v>1.7774108322324966</v>
      </c>
      <c r="AO522" s="26">
        <f t="shared" si="395"/>
        <v>1.7163999034826671</v>
      </c>
      <c r="AP522" s="26">
        <f t="shared" si="395"/>
        <v>1.5167655534836413</v>
      </c>
      <c r="AQ522" s="26">
        <f t="shared" si="395"/>
        <v>1.7358394815942537</v>
      </c>
      <c r="AR522" s="26">
        <f t="shared" si="395"/>
        <v>1.6830652790917691</v>
      </c>
      <c r="AS522" s="26">
        <f t="shared" si="395"/>
        <v>1.9125419887490389</v>
      </c>
      <c r="AT522" s="26">
        <f t="shared" si="395"/>
        <v>1.479836259554191</v>
      </c>
      <c r="AU522" s="26">
        <f t="shared" si="395"/>
        <v>2.353473208182153</v>
      </c>
      <c r="AV522" s="26">
        <f t="shared" si="395"/>
        <v>2.2553782446217552</v>
      </c>
      <c r="AW522" s="26">
        <f t="shared" si="395"/>
        <v>1.3181275306592095</v>
      </c>
      <c r="AX522" s="26">
        <f t="shared" si="395"/>
        <v>1.3337840821282703</v>
      </c>
      <c r="AZ522" s="4" t="s">
        <v>368</v>
      </c>
      <c r="BA522" s="9"/>
      <c r="BB522" s="9"/>
      <c r="BC522" s="9"/>
      <c r="BD522" s="9"/>
      <c r="BE522" s="9"/>
      <c r="BF522" s="9"/>
      <c r="BG522" s="9"/>
      <c r="BH522" s="9"/>
    </row>
    <row r="523" spans="2:63" x14ac:dyDescent="0.2">
      <c r="C523" s="9"/>
      <c r="S523" s="9"/>
      <c r="U523" s="9"/>
      <c r="BA523" s="9"/>
      <c r="BB523" s="9"/>
      <c r="BC523" s="9"/>
      <c r="BD523" s="9"/>
      <c r="BE523" s="9"/>
      <c r="BF523" s="9"/>
      <c r="BG523" s="9"/>
      <c r="BH523" s="9"/>
    </row>
    <row r="524" spans="2:63" x14ac:dyDescent="0.2">
      <c r="C524" s="9" t="s">
        <v>265</v>
      </c>
      <c r="D524" s="135"/>
      <c r="E524" s="135"/>
      <c r="F524" s="135"/>
      <c r="G524" s="135"/>
      <c r="H524" s="135"/>
      <c r="I524" s="135"/>
      <c r="J524" s="135"/>
      <c r="K524" s="135"/>
      <c r="L524" s="135"/>
      <c r="M524" s="135"/>
      <c r="N524" s="135"/>
      <c r="O524" s="135"/>
      <c r="P524" s="135"/>
      <c r="Q524" s="135"/>
      <c r="R524" s="135"/>
      <c r="S524" s="9"/>
      <c r="T524" s="135">
        <f>(T428-T410-T418)/-T135</f>
        <v>1.2007822149032523</v>
      </c>
      <c r="U524" s="9"/>
      <c r="W524" s="135">
        <f>(W428-W410-W418)/-W135</f>
        <v>0.88899559823929575</v>
      </c>
      <c r="X524" s="135">
        <f>(X428-X410-X418)/-X135</f>
        <v>0.96950850824911461</v>
      </c>
      <c r="Z524" s="135">
        <f t="shared" ref="Z524:AX524" si="396">(Z428-Z410-Z418)/-Z135</f>
        <v>0.92951588263182849</v>
      </c>
      <c r="AA524" s="135">
        <f t="shared" si="396"/>
        <v>0.9861752789821594</v>
      </c>
      <c r="AB524" s="135">
        <f t="shared" si="396"/>
        <v>0.94489712772458745</v>
      </c>
      <c r="AC524" s="135">
        <f t="shared" si="396"/>
        <v>0.98497063800139351</v>
      </c>
      <c r="AD524" s="135">
        <f t="shared" si="396"/>
        <v>0.8922011731897298</v>
      </c>
      <c r="AE524" s="135">
        <f t="shared" si="396"/>
        <v>0.98662818662818663</v>
      </c>
      <c r="AF524" s="135">
        <f t="shared" si="396"/>
        <v>0.97073272466051819</v>
      </c>
      <c r="AG524" s="135">
        <f t="shared" si="396"/>
        <v>1.2136888181456427</v>
      </c>
      <c r="AH524" s="135">
        <f t="shared" si="396"/>
        <v>1.2140935987089834</v>
      </c>
      <c r="AI524" s="135">
        <f t="shared" si="396"/>
        <v>1.2103720693170235</v>
      </c>
      <c r="AJ524" s="135">
        <f t="shared" si="396"/>
        <v>1.2208584221090011</v>
      </c>
      <c r="AK524" s="135">
        <f t="shared" si="396"/>
        <v>0.39970320335687237</v>
      </c>
      <c r="AL524" s="135">
        <f t="shared" si="396"/>
        <v>0.24410598789901941</v>
      </c>
      <c r="AM524" s="135">
        <f t="shared" si="396"/>
        <v>0.39990391630042171</v>
      </c>
      <c r="AN524" s="135">
        <f t="shared" si="396"/>
        <v>0.67955546180821047</v>
      </c>
      <c r="AO524" s="135">
        <f t="shared" si="396"/>
        <v>1.0537771482530689</v>
      </c>
      <c r="AP524" s="135">
        <f t="shared" si="396"/>
        <v>1.0605845272206305</v>
      </c>
      <c r="AQ524" s="135">
        <f t="shared" si="396"/>
        <v>1.0913147749005798</v>
      </c>
      <c r="AR524" s="135">
        <f t="shared" si="396"/>
        <v>0.8882408975444539</v>
      </c>
      <c r="AS524" s="135">
        <f t="shared" si="396"/>
        <v>0.98504721930745021</v>
      </c>
      <c r="AT524" s="135">
        <f t="shared" si="396"/>
        <v>0.93432544439497212</v>
      </c>
      <c r="AU524" s="135">
        <f t="shared" si="396"/>
        <v>0.86260393209769615</v>
      </c>
      <c r="AV524" s="135">
        <f t="shared" si="396"/>
        <v>0.83792599768411657</v>
      </c>
      <c r="AW524" s="135">
        <f t="shared" si="396"/>
        <v>0.78069401939934646</v>
      </c>
      <c r="AX524" s="135">
        <f t="shared" si="396"/>
        <v>0.56129680627520584</v>
      </c>
      <c r="BA524" s="9"/>
      <c r="BB524" s="9"/>
      <c r="BC524" s="9"/>
      <c r="BD524" s="9"/>
      <c r="BE524" s="9"/>
      <c r="BF524" s="9"/>
      <c r="BG524" s="9"/>
      <c r="BH524" s="9"/>
    </row>
    <row r="525" spans="2:63" x14ac:dyDescent="0.2">
      <c r="C525" s="9" t="s">
        <v>302</v>
      </c>
      <c r="D525" s="135"/>
      <c r="E525" s="135"/>
      <c r="F525" s="135"/>
      <c r="G525" s="135"/>
      <c r="H525" s="135"/>
      <c r="I525" s="135"/>
      <c r="J525" s="135"/>
      <c r="K525" s="135"/>
      <c r="L525" s="135"/>
      <c r="M525" s="135"/>
      <c r="N525" s="135"/>
      <c r="O525" s="135"/>
      <c r="P525" s="135"/>
      <c r="Q525" s="135"/>
      <c r="R525" s="135"/>
      <c r="S525" s="9"/>
      <c r="T525" s="135">
        <f>T109/-T135</f>
        <v>0.74310415808974883</v>
      </c>
      <c r="U525" s="9"/>
      <c r="W525" s="135"/>
      <c r="X525" s="135">
        <f t="shared" ref="X525:AX525" si="397">X109/-X135</f>
        <v>0.57576804583801211</v>
      </c>
      <c r="Y525" s="135">
        <f t="shared" si="397"/>
        <v>0.55961659995786817</v>
      </c>
      <c r="Z525" s="135">
        <f t="shared" si="397"/>
        <v>0.61881683611652527</v>
      </c>
      <c r="AA525" s="135">
        <f t="shared" si="397"/>
        <v>0.6411969578505935</v>
      </c>
      <c r="AB525" s="135">
        <f t="shared" si="397"/>
        <v>0.63528722754125078</v>
      </c>
      <c r="AC525" s="135">
        <f t="shared" si="397"/>
        <v>0.59888523937493776</v>
      </c>
      <c r="AD525" s="135">
        <f t="shared" si="397"/>
        <v>0.535628425810174</v>
      </c>
      <c r="AE525" s="135">
        <f t="shared" si="397"/>
        <v>0.58803912137245473</v>
      </c>
      <c r="AF525" s="135">
        <f t="shared" si="397"/>
        <v>0.55149001251332441</v>
      </c>
      <c r="AG525" s="135">
        <f t="shared" si="397"/>
        <v>0.44249900517309987</v>
      </c>
      <c r="AH525" s="135">
        <f t="shared" si="397"/>
        <v>0.49734400215169444</v>
      </c>
      <c r="AI525" s="135">
        <f t="shared" si="397"/>
        <v>0.51231736323479438</v>
      </c>
      <c r="AJ525" s="135">
        <f t="shared" si="397"/>
        <v>0.5478307858576501</v>
      </c>
      <c r="AK525" s="135">
        <f t="shared" si="397"/>
        <v>0.2092416334049739</v>
      </c>
      <c r="AL525" s="135">
        <f t="shared" si="397"/>
        <v>0.26700396411433341</v>
      </c>
      <c r="AM525" s="135">
        <f t="shared" si="397"/>
        <v>0.30954965214142099</v>
      </c>
      <c r="AN525" s="135">
        <f t="shared" si="397"/>
        <v>0.32707569805152004</v>
      </c>
      <c r="AO525" s="135">
        <f t="shared" si="397"/>
        <v>0.2974032105760151</v>
      </c>
      <c r="AP525" s="135">
        <f t="shared" si="397"/>
        <v>0.28531805157593121</v>
      </c>
      <c r="AQ525" s="135">
        <f t="shared" si="397"/>
        <v>0.29613551501168756</v>
      </c>
      <c r="AR525" s="135">
        <f t="shared" si="397"/>
        <v>0.28389077053344625</v>
      </c>
      <c r="AS525" s="135">
        <f t="shared" si="397"/>
        <v>0.20195622845150651</v>
      </c>
      <c r="AT525" s="135">
        <f t="shared" si="397"/>
        <v>0.26840086310237354</v>
      </c>
      <c r="AU525" s="135">
        <f t="shared" si="397"/>
        <v>0.27395851377100294</v>
      </c>
      <c r="AV525" s="135">
        <f t="shared" si="397"/>
        <v>0.29857489915311319</v>
      </c>
      <c r="AW525" s="135">
        <f t="shared" si="397"/>
        <v>0.2280719954354479</v>
      </c>
      <c r="AX525" s="135">
        <f t="shared" si="397"/>
        <v>0.26667014709145254</v>
      </c>
      <c r="BA525" s="118"/>
      <c r="BB525" s="118"/>
      <c r="BC525" s="118"/>
      <c r="BD525" s="9"/>
      <c r="BE525" s="9"/>
      <c r="BF525" s="9"/>
      <c r="BG525" s="9"/>
      <c r="BH525" s="9"/>
    </row>
    <row r="526" spans="2:63" x14ac:dyDescent="0.2">
      <c r="C526" s="9" t="s">
        <v>303</v>
      </c>
      <c r="D526" s="135"/>
      <c r="E526" s="135"/>
      <c r="F526" s="135"/>
      <c r="G526" s="135"/>
      <c r="H526" s="135"/>
      <c r="I526" s="135"/>
      <c r="J526" s="135"/>
      <c r="K526" s="135"/>
      <c r="L526" s="135"/>
      <c r="M526" s="135"/>
      <c r="N526" s="135"/>
      <c r="O526" s="135"/>
      <c r="P526" s="135"/>
      <c r="Q526" s="135"/>
      <c r="R526" s="135"/>
      <c r="S526" s="9"/>
      <c r="T526" s="135">
        <f t="shared" ref="T526:AX526" si="398">T109/(T130+T105+T137+T138)</f>
        <v>0.29577072443344748</v>
      </c>
      <c r="U526" s="135" t="e">
        <f t="shared" si="398"/>
        <v>#DIV/0!</v>
      </c>
      <c r="V526" s="135">
        <f t="shared" si="398"/>
        <v>0.33186868145607828</v>
      </c>
      <c r="W526" s="135">
        <f t="shared" si="398"/>
        <v>0.33666428192287279</v>
      </c>
      <c r="X526" s="135">
        <f t="shared" si="398"/>
        <v>0.35879355510101552</v>
      </c>
      <c r="Y526" s="135">
        <f t="shared" si="398"/>
        <v>0.31742143625283786</v>
      </c>
      <c r="Z526" s="135">
        <f t="shared" si="398"/>
        <v>0.33276677714512337</v>
      </c>
      <c r="AA526" s="135">
        <f t="shared" si="398"/>
        <v>0.32450223924890736</v>
      </c>
      <c r="AB526" s="135">
        <f t="shared" si="398"/>
        <v>0.32069772224793047</v>
      </c>
      <c r="AC526" s="135">
        <f t="shared" si="398"/>
        <v>-1.2769524617996604</v>
      </c>
      <c r="AD526" s="135">
        <f t="shared" si="398"/>
        <v>0.3395202828319771</v>
      </c>
      <c r="AE526" s="135">
        <f t="shared" si="398"/>
        <v>0.31609066620701542</v>
      </c>
      <c r="AF526" s="135">
        <f t="shared" si="398"/>
        <v>0.26260675744267648</v>
      </c>
      <c r="AG526" s="135">
        <f t="shared" si="398"/>
        <v>0.23374111909866735</v>
      </c>
      <c r="AH526" s="135">
        <f t="shared" si="398"/>
        <v>0.24727534100026746</v>
      </c>
      <c r="AI526" s="135">
        <f t="shared" si="398"/>
        <v>0.25362448353080941</v>
      </c>
      <c r="AJ526" s="135">
        <f t="shared" si="398"/>
        <v>0.28798565063184295</v>
      </c>
      <c r="AK526" s="135">
        <f t="shared" si="398"/>
        <v>-0.13062228469205214</v>
      </c>
      <c r="AL526" s="135">
        <f t="shared" si="398"/>
        <v>-0.19645392792723645</v>
      </c>
      <c r="AM526" s="135">
        <f t="shared" si="398"/>
        <v>-0.62321332616872649</v>
      </c>
      <c r="AN526" s="135">
        <f t="shared" si="398"/>
        <v>0.66297899631232959</v>
      </c>
      <c r="AO526" s="135">
        <f t="shared" si="398"/>
        <v>0.13910297462623944</v>
      </c>
      <c r="AP526" s="135">
        <f t="shared" si="398"/>
        <v>0.12746413247176169</v>
      </c>
      <c r="AQ526" s="135">
        <f t="shared" si="398"/>
        <v>0.136307743900735</v>
      </c>
      <c r="AR526" s="135">
        <f t="shared" si="398"/>
        <v>0.14662759804511113</v>
      </c>
      <c r="AS526" s="135">
        <f t="shared" si="398"/>
        <v>0.10938800365370953</v>
      </c>
      <c r="AT526" s="135">
        <f t="shared" si="398"/>
        <v>0.17605760373840174</v>
      </c>
      <c r="AU526" s="135">
        <f t="shared" si="398"/>
        <v>0.20141199318677469</v>
      </c>
      <c r="AV526" s="135">
        <f t="shared" si="398"/>
        <v>0.23498123771517065</v>
      </c>
      <c r="AW526" s="135">
        <f t="shared" si="398"/>
        <v>0.22255403148251252</v>
      </c>
      <c r="AX526" s="135">
        <f t="shared" si="398"/>
        <v>0.28734565296880715</v>
      </c>
      <c r="BA526" s="9"/>
      <c r="BB526" s="9"/>
      <c r="BC526" s="9"/>
      <c r="BD526" s="9"/>
      <c r="BE526" s="9"/>
      <c r="BF526" s="9"/>
      <c r="BG526" s="9"/>
      <c r="BH526" s="9"/>
    </row>
    <row r="527" spans="2:63" x14ac:dyDescent="0.2">
      <c r="C527" s="9" t="s">
        <v>408</v>
      </c>
      <c r="D527" s="135"/>
      <c r="E527" s="135"/>
      <c r="F527" s="135"/>
      <c r="G527" s="135"/>
      <c r="H527" s="135"/>
      <c r="I527" s="135"/>
      <c r="J527" s="135"/>
      <c r="K527" s="135"/>
      <c r="L527" s="135"/>
      <c r="M527" s="135"/>
      <c r="N527" s="135"/>
      <c r="O527" s="135"/>
      <c r="P527" s="135"/>
      <c r="Q527" s="135"/>
      <c r="R527" s="135"/>
      <c r="S527" s="9"/>
      <c r="T527" s="135"/>
      <c r="U527" s="135"/>
      <c r="V527" s="135"/>
      <c r="W527" s="135"/>
      <c r="X527" s="135"/>
      <c r="Y527" s="135"/>
      <c r="Z527" s="135"/>
      <c r="AA527" s="135"/>
      <c r="AB527" s="135"/>
      <c r="AC527" s="135"/>
      <c r="AD527" s="135">
        <f>AD170/(AD130+AD105+AD137+AD138)</f>
        <v>-0.10115510042363841</v>
      </c>
      <c r="AE527" s="135">
        <f>AE170/(AE130+AE105+AE137+AE138)</f>
        <v>-1.1376368180642938E-2</v>
      </c>
      <c r="AF527" s="135"/>
      <c r="AG527" s="135"/>
      <c r="AH527" s="135">
        <f t="shared" ref="AH527:AX527" si="399">AH170/(AH130+AH105+AH137+AH138)</f>
        <v>6.4422305429259155E-2</v>
      </c>
      <c r="AI527" s="135">
        <f t="shared" si="399"/>
        <v>6.0304677397310678E-2</v>
      </c>
      <c r="AJ527" s="135">
        <f t="shared" si="399"/>
        <v>-4.8745853178102809E-2</v>
      </c>
      <c r="AK527" s="135">
        <f t="shared" si="399"/>
        <v>1.3922501916687964</v>
      </c>
      <c r="AL527" s="135">
        <f t="shared" si="399"/>
        <v>1.4395172122654181</v>
      </c>
      <c r="AM527" s="135">
        <f t="shared" si="399"/>
        <v>2.5031345154934623</v>
      </c>
      <c r="AN527" s="135">
        <f t="shared" si="399"/>
        <v>-1.5511998289776068</v>
      </c>
      <c r="AO527" s="135">
        <f t="shared" si="399"/>
        <v>0.35918556632731929</v>
      </c>
      <c r="AP527" s="135">
        <f t="shared" si="399"/>
        <v>0.33308414660372143</v>
      </c>
      <c r="AQ527" s="135">
        <f t="shared" si="399"/>
        <v>0.26715199955286029</v>
      </c>
      <c r="AR527" s="135">
        <f t="shared" si="399"/>
        <v>0.21264883067469906</v>
      </c>
      <c r="AS527" s="135">
        <f t="shared" si="399"/>
        <v>0.25466355424743731</v>
      </c>
      <c r="AT527" s="135">
        <f t="shared" si="399"/>
        <v>4.8268967221585676E-2</v>
      </c>
      <c r="AU527" s="135">
        <f t="shared" si="399"/>
        <v>-5.5134593037138448E-2</v>
      </c>
      <c r="AV527" s="135">
        <f t="shared" si="399"/>
        <v>-7.9510393710167368E-2</v>
      </c>
      <c r="AW527" s="135">
        <f t="shared" si="399"/>
        <v>-7.4657083565318624E-2</v>
      </c>
      <c r="AX527" s="135">
        <f t="shared" si="399"/>
        <v>-3.2739853176947095E-2</v>
      </c>
      <c r="BA527" s="9"/>
      <c r="BB527" s="9"/>
      <c r="BC527" s="9"/>
      <c r="BD527" s="9"/>
      <c r="BE527" s="9"/>
      <c r="BF527" s="9"/>
      <c r="BG527" s="9"/>
      <c r="BH527" s="9"/>
    </row>
    <row r="528" spans="2:63" x14ac:dyDescent="0.2">
      <c r="C528" s="9"/>
      <c r="S528" s="9"/>
      <c r="T528" s="135"/>
      <c r="U528" s="9"/>
      <c r="W528" s="135"/>
      <c r="X528" s="135"/>
      <c r="AA528" s="135"/>
      <c r="AB528" s="135"/>
      <c r="AC528" s="135"/>
      <c r="AD528" s="135"/>
      <c r="AE528" s="135"/>
      <c r="AF528" s="135"/>
      <c r="AG528" s="135"/>
      <c r="AH528" s="135"/>
      <c r="AI528" s="135"/>
      <c r="AJ528" s="135"/>
      <c r="AK528" s="135"/>
      <c r="AL528" s="135"/>
      <c r="AM528" s="135"/>
      <c r="AN528" s="135"/>
      <c r="AO528" s="135"/>
      <c r="AP528" s="135"/>
      <c r="AQ528" s="135"/>
      <c r="AR528" s="135"/>
      <c r="AS528" s="135"/>
      <c r="AT528" s="135"/>
      <c r="AU528" s="135"/>
      <c r="AV528" s="135"/>
      <c r="AW528" s="135"/>
      <c r="AX528" s="135"/>
      <c r="BA528" s="9"/>
      <c r="BB528" s="9"/>
      <c r="BC528" s="9"/>
      <c r="BD528" s="9"/>
      <c r="BE528" s="9"/>
      <c r="BF528" s="9"/>
      <c r="BG528" s="9"/>
      <c r="BH528" s="9"/>
    </row>
    <row r="529" spans="3:60" x14ac:dyDescent="0.2">
      <c r="C529" s="9" t="s">
        <v>267</v>
      </c>
      <c r="N529" s="135">
        <f>(N9+N15+N17)/(N37+N38+N39)</f>
        <v>0.19112592092371902</v>
      </c>
      <c r="S529" s="9"/>
      <c r="T529" s="135">
        <f>(T9+T15+T17)/(T37+T38+T39)</f>
        <v>0.33259259125321627</v>
      </c>
      <c r="U529" s="9"/>
      <c r="V529" s="135">
        <f>(V9+V15+V17)/(V37+V38+V39)</f>
        <v>0.48677724807710282</v>
      </c>
      <c r="W529" s="135">
        <f>(W9+W15+W17)/(W37+W38+W39)</f>
        <v>0.3360781836315086</v>
      </c>
      <c r="X529" s="135">
        <f>(X9+X15+X17)/(X37+X38+X39)</f>
        <v>0.28452204337281073</v>
      </c>
      <c r="AA529" s="135">
        <f>(AA9+AA15+AA17)/(AA37+AA38+AA39)</f>
        <v>0.43944119216346406</v>
      </c>
      <c r="AB529" s="136">
        <f t="shared" ref="AB529:AX529" si="400">(AB9+AB15+AB17+AB19)/(AB37+AB38+AB39)</f>
        <v>0.41879939196216653</v>
      </c>
      <c r="AC529" s="136">
        <f t="shared" si="400"/>
        <v>0.30617154909335248</v>
      </c>
      <c r="AD529" s="136">
        <f t="shared" si="400"/>
        <v>0.35628713608477869</v>
      </c>
      <c r="AE529" s="136">
        <f t="shared" si="400"/>
        <v>0.42402197039814954</v>
      </c>
      <c r="AF529" s="136">
        <f t="shared" si="400"/>
        <v>0.46159307482246353</v>
      </c>
      <c r="AG529" s="136">
        <f t="shared" si="400"/>
        <v>0.50628222079355645</v>
      </c>
      <c r="AH529" s="136">
        <f t="shared" si="400"/>
        <v>0.40466333714835878</v>
      </c>
      <c r="AI529" s="136">
        <f t="shared" si="400"/>
        <v>0.3636895742060719</v>
      </c>
      <c r="AJ529" s="136">
        <f t="shared" si="400"/>
        <v>0.35688443586673846</v>
      </c>
      <c r="AK529" s="136">
        <f t="shared" si="400"/>
        <v>0.41949321330548711</v>
      </c>
      <c r="AL529" s="136">
        <f t="shared" si="400"/>
        <v>0.31901375806695087</v>
      </c>
      <c r="AM529" s="136">
        <f t="shared" si="400"/>
        <v>0.2938747084038249</v>
      </c>
      <c r="AN529" s="136">
        <f t="shared" si="400"/>
        <v>0.36877969749227962</v>
      </c>
      <c r="AO529" s="136">
        <f t="shared" si="400"/>
        <v>0.36924467075709549</v>
      </c>
      <c r="AP529" s="136">
        <f t="shared" si="400"/>
        <v>0.37483767936137102</v>
      </c>
      <c r="AQ529" s="136">
        <f t="shared" si="400"/>
        <v>0.42259214341292506</v>
      </c>
      <c r="AR529" s="136">
        <f t="shared" si="400"/>
        <v>0.44081810138961031</v>
      </c>
      <c r="AS529" s="136">
        <f t="shared" si="400"/>
        <v>0.37436993001005969</v>
      </c>
      <c r="AT529" s="136">
        <f t="shared" si="400"/>
        <v>0.367261094607161</v>
      </c>
      <c r="AU529" s="136">
        <f t="shared" si="400"/>
        <v>0.33030694099387709</v>
      </c>
      <c r="AV529" s="136">
        <f t="shared" si="400"/>
        <v>0.33310663870171209</v>
      </c>
      <c r="AW529" s="136">
        <f t="shared" si="400"/>
        <v>0.29935933801399178</v>
      </c>
      <c r="AX529" s="136">
        <f t="shared" si="400"/>
        <v>0.29101619798161277</v>
      </c>
      <c r="BA529" s="9"/>
      <c r="BB529" s="9"/>
      <c r="BC529" s="9"/>
      <c r="BD529" s="9"/>
      <c r="BE529" s="9"/>
      <c r="BF529" s="9"/>
      <c r="BG529" s="9"/>
      <c r="BH529" s="9"/>
    </row>
    <row r="530" spans="3:60" x14ac:dyDescent="0.2">
      <c r="C530" s="9" t="s">
        <v>266</v>
      </c>
      <c r="S530" s="9"/>
      <c r="T530" s="135">
        <f>(T9+T15+T17)/T39</f>
        <v>0.51249045732403864</v>
      </c>
      <c r="U530" s="9"/>
      <c r="V530" s="135">
        <f>(V9+V15+V17)/V39</f>
        <v>0.60235728368546992</v>
      </c>
      <c r="W530" s="135">
        <f>(W9+W15+W17)/W39</f>
        <v>0.41934789312439441</v>
      </c>
      <c r="X530" s="135">
        <f>(X9+X15+X17)/X39</f>
        <v>0.37531934931220923</v>
      </c>
      <c r="AA530" s="135">
        <f>(AA9+AA15+AA17)/AA39</f>
        <v>0.48862743787288804</v>
      </c>
      <c r="AB530" s="136">
        <f t="shared" ref="AB530:AX530" si="401">(AB9+AB15+AB17+AB19)/AB39</f>
        <v>0.48692183071115369</v>
      </c>
      <c r="AC530" s="136">
        <f t="shared" si="401"/>
        <v>0.40569480391805279</v>
      </c>
      <c r="AD530" s="136">
        <f t="shared" si="401"/>
        <v>0.50967494253088819</v>
      </c>
      <c r="AE530" s="136">
        <f t="shared" si="401"/>
        <v>0.60811453658648418</v>
      </c>
      <c r="AF530" s="136">
        <f t="shared" si="401"/>
        <v>0.53387916798936108</v>
      </c>
      <c r="AG530" s="136">
        <f t="shared" si="401"/>
        <v>0.56601885219668058</v>
      </c>
      <c r="AH530" s="136">
        <f t="shared" si="401"/>
        <v>0.470894847677437</v>
      </c>
      <c r="AI530" s="136">
        <f t="shared" si="401"/>
        <v>0.43091438794419273</v>
      </c>
      <c r="AJ530" s="136">
        <f t="shared" si="401"/>
        <v>0.42078939634935725</v>
      </c>
      <c r="AK530" s="136">
        <f t="shared" si="401"/>
        <v>0.44618579754261717</v>
      </c>
      <c r="AL530" s="136">
        <f t="shared" si="401"/>
        <v>0.35358594936821314</v>
      </c>
      <c r="AM530" s="136">
        <f t="shared" si="401"/>
        <v>0.33503701538513425</v>
      </c>
      <c r="AN530" s="136">
        <f t="shared" si="401"/>
        <v>0.39352410316691039</v>
      </c>
      <c r="AO530" s="136">
        <f t="shared" si="401"/>
        <v>0.37914480726867372</v>
      </c>
      <c r="AP530" s="136">
        <f t="shared" si="401"/>
        <v>0.38637512530277024</v>
      </c>
      <c r="AQ530" s="136">
        <f t="shared" si="401"/>
        <v>0.44205233044306225</v>
      </c>
      <c r="AR530" s="136">
        <f t="shared" si="401"/>
        <v>0.46912315660263332</v>
      </c>
      <c r="AS530" s="136">
        <f t="shared" si="401"/>
        <v>0.41059080885751131</v>
      </c>
      <c r="AT530" s="136">
        <f t="shared" si="401"/>
        <v>0.40573901447433169</v>
      </c>
      <c r="AU530" s="136">
        <f t="shared" si="401"/>
        <v>0.37285761958682612</v>
      </c>
      <c r="AV530" s="136">
        <f t="shared" si="401"/>
        <v>0.3681659470633708</v>
      </c>
      <c r="AW530" s="136">
        <f t="shared" si="401"/>
        <v>0.33756344818460177</v>
      </c>
      <c r="AX530" s="136">
        <f t="shared" si="401"/>
        <v>0.31935559256695834</v>
      </c>
      <c r="BA530" s="9"/>
      <c r="BB530" s="9"/>
      <c r="BC530" s="9"/>
      <c r="BD530" s="9"/>
      <c r="BE530" s="9"/>
      <c r="BF530" s="9"/>
      <c r="BG530" s="9"/>
      <c r="BH530" s="9"/>
    </row>
    <row r="531" spans="3:60" x14ac:dyDescent="0.2">
      <c r="C531" s="9"/>
      <c r="S531" s="9"/>
      <c r="T531" s="135"/>
      <c r="U531" s="9"/>
      <c r="V531" s="135"/>
      <c r="W531" s="135"/>
      <c r="X531" s="135"/>
      <c r="AA531" s="135"/>
      <c r="AB531" s="135"/>
      <c r="AC531" s="135"/>
      <c r="AG531" s="135"/>
      <c r="AH531" s="135"/>
      <c r="AK531" s="135"/>
      <c r="AL531" s="135"/>
      <c r="AO531" s="135"/>
      <c r="AP531" s="135"/>
      <c r="AS531" s="135"/>
      <c r="AT531" s="135"/>
      <c r="AW531" s="135"/>
      <c r="AX531" s="135"/>
      <c r="BA531" s="9"/>
      <c r="BB531" s="9"/>
      <c r="BC531" s="9"/>
      <c r="BD531" s="9"/>
      <c r="BE531" s="9"/>
      <c r="BF531" s="9"/>
      <c r="BG531" s="9"/>
      <c r="BH531" s="9"/>
    </row>
    <row r="532" spans="3:60" x14ac:dyDescent="0.2">
      <c r="C532" s="46" t="s">
        <v>143</v>
      </c>
      <c r="S532" s="9"/>
      <c r="U532" s="9"/>
      <c r="BA532" s="9"/>
      <c r="BB532" s="9"/>
      <c r="BC532" s="9"/>
      <c r="BD532" s="9"/>
      <c r="BE532" s="9"/>
      <c r="BF532" s="9"/>
      <c r="BG532" s="9"/>
      <c r="BH532" s="9"/>
    </row>
    <row r="533" spans="3:60" x14ac:dyDescent="0.2">
      <c r="C533" s="9" t="s">
        <v>290</v>
      </c>
      <c r="D533" s="35"/>
      <c r="E533" s="35"/>
      <c r="F533" s="35">
        <f>(F99*F$4)/AVERAGE(D63:F63)</f>
        <v>0.36109055669945322</v>
      </c>
      <c r="G533" s="35"/>
      <c r="H533" s="35">
        <f>(H99*H$4)/AVERAGE(F63:H63)</f>
        <v>0.4094133286516391</v>
      </c>
      <c r="I533" s="35"/>
      <c r="J533" s="35">
        <f>(J99*J$4)/AVERAGE(H63:J63)</f>
        <v>0.20146753259515865</v>
      </c>
      <c r="K533" s="35"/>
      <c r="L533" s="35">
        <f>(L99*L$4)/AVERAGE(J63:L63)</f>
        <v>0.14133726363791291</v>
      </c>
      <c r="M533" s="35"/>
      <c r="N533" s="35">
        <f>(N99*N$4)/AVERAGE(L63:N63)</f>
        <v>0.1520242049799235</v>
      </c>
      <c r="O533" s="35"/>
      <c r="P533" s="35">
        <f>(P99*P$4)/AVERAGE(N63:P63)</f>
        <v>7.5286096959809104E-2</v>
      </c>
      <c r="Q533" s="35"/>
      <c r="R533" s="35">
        <f>(R99*R$4)/AVERAGE(P63:R63)</f>
        <v>5.9165141364419881E-2</v>
      </c>
      <c r="S533" s="35"/>
      <c r="T533" s="35">
        <f>(T99*T$4)/AVERAGE(R63,S63,T63)</f>
        <v>5.8383951760388214E-2</v>
      </c>
      <c r="U533" s="35"/>
      <c r="V533" s="35">
        <f>(V99*V$4)/AVERAGE(T63:V63)</f>
        <v>6.6284081718657517E-2</v>
      </c>
      <c r="W533" s="35">
        <f>(W99*W$4)/AVERAGE(T63,V63:W63)</f>
        <v>6.5646905164885264E-2</v>
      </c>
      <c r="X533" s="35">
        <f>(X99*X$4)/AVERAGE(T63:X63)</f>
        <v>6.8214954619146215E-2</v>
      </c>
      <c r="Y533" s="35"/>
      <c r="Z533" s="35">
        <f>(Z99*Z$4)/AVERAGE(X63:Z63)</f>
        <v>6.5062984044042177E-2</v>
      </c>
      <c r="AA533" s="35">
        <f>(AA99*AA$4)/AVERAGE(W63:Z63,AA63)</f>
        <v>6.7823975446405227E-2</v>
      </c>
      <c r="AB533" s="35">
        <f>(AB99*AB$4)/AVERAGE(X63:AB63)</f>
        <v>6.5454329351637253E-2</v>
      </c>
      <c r="AC533" s="35">
        <f>(AC99*AC$4)/AVERAGE(AB63,AC63)</f>
        <v>6.8066393003747991E-2</v>
      </c>
      <c r="AD533" s="35">
        <f>(AD99*AD$4)/AVERAGE(AB63:AD63)</f>
        <v>6.4743878405654237E-2</v>
      </c>
      <c r="AE533" s="35">
        <f>(AE99*AE$4)/AVERAGE(AB63:AE63)</f>
        <v>6.5213893824397212E-2</v>
      </c>
      <c r="AF533" s="35">
        <f>(AF99*AF$4)/AVERAGE(AB63:AF63)</f>
        <v>6.5420991275725732E-2</v>
      </c>
      <c r="AG533" s="35">
        <f>(AG99*AG$4)/AVERAGE(AF63,AG63)</f>
        <v>6.5512538254305086E-2</v>
      </c>
      <c r="AH533" s="35">
        <f>(AH99*AH$4)/AVERAGE(AF63:AH63)</f>
        <v>7.2990173530074712E-2</v>
      </c>
      <c r="AI533" s="35">
        <f>(AI99*AI$4)/AVERAGE(AF63:AI63)</f>
        <v>7.5241011253758525E-2</v>
      </c>
      <c r="AJ533" s="35">
        <f>(AJ99*AJ$4)/AVERAGE(AF63:AJ63)</f>
        <v>7.6593420644101753E-2</v>
      </c>
      <c r="AK533" s="35">
        <f>(AK99*AK$4)/AVERAGE(AJ63,AK63)</f>
        <v>6.5281143324162766E-2</v>
      </c>
      <c r="AL533" s="35">
        <f>(AL99*AL$4)/AVERAGE(AJ63:AL63)</f>
        <v>4.8436799892129317E-2</v>
      </c>
      <c r="AM533" s="35">
        <f>(AM99*AM$4)/AVERAGE(AJ63:AM63)</f>
        <v>5.4473465825901797E-2</v>
      </c>
      <c r="AN533" s="35">
        <f>(AN99*AN$4)/AVERAGE(AJ63:AN63)</f>
        <v>5.8831181097002701E-2</v>
      </c>
      <c r="AO533" s="35">
        <f>(AO99*AO$4)/AVERAGE(AN63,AO63)</f>
        <v>6.4439774651642093E-2</v>
      </c>
      <c r="AP533" s="35">
        <f>(AP99*AP$4)/AVERAGE(AN63:AP63)</f>
        <v>6.6596513675349092E-2</v>
      </c>
      <c r="AQ533" s="35">
        <f>(AQ99*AQ$4)/AVERAGE(AN63:AQ63)</f>
        <v>6.6761422044528757E-2</v>
      </c>
      <c r="AR533" s="35">
        <f>(AR99*AR$4)/AVERAGE(AN63:AR63)</f>
        <v>6.4503865763284901E-2</v>
      </c>
      <c r="AS533" s="35">
        <f>(AS99*AS$4)/AVERAGE(AR63,AS63)</f>
        <v>5.3694873377229557E-2</v>
      </c>
      <c r="AT533" s="35">
        <f>(AT99*AT$4)/AVERAGE(AR63:AT63)</f>
        <v>5.6823082394635349E-2</v>
      </c>
      <c r="AU533" s="35">
        <f>(AU99*AU$4)/AVERAGE(AR63:AU63)</f>
        <v>5.5733332104435949E-2</v>
      </c>
      <c r="AV533" s="35">
        <f>(AV99*AV$4)/AVERAGE(AR63:AV63)</f>
        <v>5.4205632219684302E-2</v>
      </c>
      <c r="AW533" s="35">
        <f>(AW99*AW$4)/AVERAGE(AV63,AW63)</f>
        <v>4.2938198341480091E-2</v>
      </c>
      <c r="AX533" s="35">
        <f>(AX99*AX$4)/AVERAGE(AV63:AX63)</f>
        <v>4.4955572951231745E-2</v>
      </c>
      <c r="AY533" s="35"/>
      <c r="AZ533" s="70"/>
      <c r="BA533" s="9"/>
      <c r="BB533" s="9"/>
      <c r="BC533" s="9"/>
      <c r="BD533" s="9"/>
      <c r="BE533" s="9"/>
      <c r="BF533" s="9"/>
      <c r="BG533" s="9"/>
      <c r="BH533" s="9"/>
    </row>
    <row r="534" spans="3:60" s="9" customFormat="1" x14ac:dyDescent="0.2">
      <c r="C534" s="9" t="s">
        <v>309</v>
      </c>
      <c r="D534" s="35"/>
      <c r="E534" s="35"/>
      <c r="F534" s="35">
        <f>((F99+F109)*F4)/AVERAGE(D35,E35,F35)</f>
        <v>0.14744920139549672</v>
      </c>
      <c r="G534" s="35"/>
      <c r="H534" s="35">
        <f>((H99+H109)*H4)/AVERAGE(F35,G35,H35)</f>
        <v>0.20080472564761767</v>
      </c>
      <c r="I534" s="35"/>
      <c r="J534" s="35">
        <f>((J99+J109)*J4)/AVERAGE(H35,I35,J35)</f>
        <v>0.18365221273682614</v>
      </c>
      <c r="K534" s="35"/>
      <c r="L534" s="35">
        <f>((L99+L109)*L4)/AVERAGE(J35,K35,L35)</f>
        <v>0.16794988113447512</v>
      </c>
      <c r="M534" s="35"/>
      <c r="N534" s="35">
        <f>((N99+N109)*N4)/AVERAGE(L35,M35,N35)</f>
        <v>0.16341386176063938</v>
      </c>
      <c r="O534" s="35"/>
      <c r="P534" s="35">
        <f>((P99+P109)*P4)/AVERAGE(N35,O35,P35)</f>
        <v>8.6264740726640365E-2</v>
      </c>
      <c r="Q534" s="35"/>
      <c r="R534" s="35">
        <f>((R99+R109)*R4)/AVERAGE(P35,Q35,R35)</f>
        <v>7.8160464281902334E-2</v>
      </c>
      <c r="S534" s="35"/>
      <c r="T534" s="35">
        <f>((T99+T109)*T4)/AVERAGE(R35,S35,T35)</f>
        <v>8.2219724161859284E-2</v>
      </c>
      <c r="U534" s="35"/>
      <c r="V534" s="35">
        <f>((V99+V109)*V4)/AVERAGE(S35,T35,V35)</f>
        <v>8.4242637246772362E-2</v>
      </c>
      <c r="W534" s="35">
        <f>((W99+W109)*W4)/AVERAGE(T35,V35,W35)</f>
        <v>7.9577313624573348E-2</v>
      </c>
      <c r="X534" s="35">
        <f>((X99+X109)*X4)/AVERAGE(T35,V35,X35)</f>
        <v>7.9522897187266628E-2</v>
      </c>
      <c r="Y534" s="35">
        <f>((Y99+Y109)*Y4)/AVERAGE(X35,Y35)</f>
        <v>7.6730035408573691E-2</v>
      </c>
      <c r="Z534" s="35">
        <f>((Z99+Z109)*Z4)/AVERAGE(X35,Y35,Z35)</f>
        <v>7.8523345301032069E-2</v>
      </c>
      <c r="AA534" s="35">
        <f>((AA99+AA109)*AA4)/AVERAGE(X35:Z35,AA35)</f>
        <v>7.9691055567554403E-2</v>
      </c>
      <c r="AB534" s="35">
        <f>((AB99+AB109)*AB4)/AVERAGE(X35,Z35,AB35)</f>
        <v>7.7983728660271784E-2</v>
      </c>
      <c r="AC534" s="35">
        <f>((AC99+AC109)*AC4)/AVERAGE(AB35,AC35)</f>
        <v>7.7605102761234959E-2</v>
      </c>
      <c r="AD534" s="35">
        <f>((AD99+AD109)*AD4)/AVERAGE(AB35,AC35,AD35)</f>
        <v>7.2927024617291045E-2</v>
      </c>
      <c r="AE534" s="35">
        <f>((AE99+AE109)*AE4)/AVERAGE(AB35:AE35)</f>
        <v>7.4405785955366038E-2</v>
      </c>
      <c r="AF534" s="35">
        <f>((AF99+AF109)*AF4)/AVERAGE(AB35:AF35)</f>
        <v>7.379861697840423E-2</v>
      </c>
      <c r="AG534" s="35">
        <f>((AG99+AG109)*AG4)/AVERAGE(AF35,AG35)</f>
        <v>7.0810215613084856E-2</v>
      </c>
      <c r="AH534" s="35">
        <f>((AH99+AH109)*AH4)/AVERAGE(AF35:AH35)</f>
        <v>8.0579326749131555E-2</v>
      </c>
      <c r="AI534" s="35">
        <f>((AI99+AI109)*AI4)/AVERAGE(AF35:AI35)</f>
        <v>8.3236466239844126E-2</v>
      </c>
      <c r="AJ534" s="35">
        <f>((AJ99+AJ109)*AJ4)/AVERAGE(AF35:AJ35)</f>
        <v>8.4468573439834091E-2</v>
      </c>
      <c r="AK534" s="35">
        <f>((AK99+AK109)*AK4)/AVERAGE(AJ35,AK35)</f>
        <v>6.2940949930718498E-2</v>
      </c>
      <c r="AL534" s="35">
        <f>((AL99+AL109)*AL4)/AVERAGE(AJ35:AL35)</f>
        <v>5.1842025459673438E-2</v>
      </c>
      <c r="AM534" s="35">
        <f>((AM99+AM109)*AM4)/AVERAGE(AJ35:AM35)</f>
        <v>5.9135055935842409E-2</v>
      </c>
      <c r="AN534" s="35">
        <f>((AN99+AN109)*AN4)/AVERAGE(AJ35:AN35)</f>
        <v>6.3663023714249742E-2</v>
      </c>
      <c r="AO534" s="35">
        <f>((AO99+AO109)*AO4)/AVERAGE(AN35,AO35)</f>
        <v>6.857494652398019E-2</v>
      </c>
      <c r="AP534" s="35">
        <f>((AP99+AP109)*AP4)/AVERAGE(AN35:AP35)</f>
        <v>6.9647503114728157E-2</v>
      </c>
      <c r="AQ534" s="35">
        <f>((AQ99+AQ109)*AQ4)/AVERAGE(AN35:AQ35)</f>
        <v>6.8366750369076093E-2</v>
      </c>
      <c r="AR534" s="35">
        <f>((AR99+AR109)*AR4)/AVERAGE(AN35:AR35)</f>
        <v>6.4673939264486766E-2</v>
      </c>
      <c r="AS534" s="35">
        <f>((AS99+AS109)*AS4)/AVERAGE(AR35,AS35)</f>
        <v>4.8140066275924723E-2</v>
      </c>
      <c r="AT534" s="35">
        <f>((AT99+AT109)*AT4)/AVERAGE(AR35:AT35)</f>
        <v>5.3017861036462242E-2</v>
      </c>
      <c r="AU534" s="35">
        <f>((AU99+AU109)*AU4)/AVERAGE(AR35:AU35)</f>
        <v>5.299303252587928E-2</v>
      </c>
      <c r="AV534" s="35">
        <f>((AV99+AV109)*AV4)/AVERAGE(AR35:AV35)</f>
        <v>5.3496311931016644E-2</v>
      </c>
      <c r="AW534" s="35">
        <f>((AW99+AW109)*AW4)/AVERAGE(AV35,AW35)</f>
        <v>4.411330126058742E-2</v>
      </c>
      <c r="AX534" s="35">
        <f>((AX99+AX109)*AX4)/AVERAGE(AV35:AX35)</f>
        <v>4.7444840885586349E-2</v>
      </c>
      <c r="AY534" s="35"/>
    </row>
    <row r="535" spans="3:60" x14ac:dyDescent="0.2">
      <c r="C535" s="9" t="s">
        <v>144</v>
      </c>
      <c r="D535" s="26"/>
      <c r="E535" s="26"/>
      <c r="F535" s="26">
        <f>F99/F130</f>
        <v>0.81783136120845323</v>
      </c>
      <c r="G535" s="26"/>
      <c r="H535" s="26">
        <f>H99/H130</f>
        <v>0.56279761099145986</v>
      </c>
      <c r="I535" s="26"/>
      <c r="J535" s="26">
        <f>J99/J130</f>
        <v>0.51994351019334639</v>
      </c>
      <c r="K535" s="26"/>
      <c r="L535" s="26">
        <f>L99/L130</f>
        <v>0.56624897622059844</v>
      </c>
      <c r="M535" s="26"/>
      <c r="N535" s="26">
        <f>N99/N130</f>
        <v>0.70215540072525773</v>
      </c>
      <c r="O535" s="26"/>
      <c r="P535" s="26">
        <f>P99/P130</f>
        <v>0.39757589236072499</v>
      </c>
      <c r="Q535" s="26"/>
      <c r="R535" s="26">
        <f>R99/R130</f>
        <v>0.44527363184079605</v>
      </c>
      <c r="S535" s="35"/>
      <c r="T535" s="26">
        <f>T99/T130</f>
        <v>0.48366894973820451</v>
      </c>
      <c r="U535" s="35"/>
      <c r="V535" s="26">
        <f>V99/V130</f>
        <v>0.64318359492452948</v>
      </c>
      <c r="W535" s="26">
        <f>W99/W130</f>
        <v>0.66651627204425523</v>
      </c>
      <c r="X535" s="26">
        <f>X99/X130</f>
        <v>0.73697690301750896</v>
      </c>
      <c r="Y535" s="26"/>
      <c r="Z535" s="26">
        <f t="shared" ref="Z535:AX535" si="402">Z99/Z130</f>
        <v>0.63778720913215281</v>
      </c>
      <c r="AA535" s="26">
        <f t="shared" si="402"/>
        <v>0.63861889333587452</v>
      </c>
      <c r="AB535" s="26">
        <f t="shared" si="402"/>
        <v>0.6168994835833268</v>
      </c>
      <c r="AC535" s="158">
        <f t="shared" si="402"/>
        <v>12.397364771151178</v>
      </c>
      <c r="AD535" s="26">
        <f t="shared" si="402"/>
        <v>0.8227236457132725</v>
      </c>
      <c r="AE535" s="26">
        <f t="shared" si="402"/>
        <v>0.76654390234380088</v>
      </c>
      <c r="AF535" s="26">
        <f t="shared" si="402"/>
        <v>0.70013597087591561</v>
      </c>
      <c r="AG535" s="26">
        <f t="shared" si="402"/>
        <v>0.82585162755488262</v>
      </c>
      <c r="AH535" s="26">
        <f t="shared" si="402"/>
        <v>0.73037600576947548</v>
      </c>
      <c r="AI535" s="26">
        <f t="shared" si="402"/>
        <v>0.73105836939374447</v>
      </c>
      <c r="AJ535" s="26">
        <f t="shared" si="402"/>
        <v>0.74759319720005923</v>
      </c>
      <c r="AK535" s="26">
        <f t="shared" si="402"/>
        <v>-2.3689312060387717</v>
      </c>
      <c r="AL535" s="26">
        <f t="shared" si="402"/>
        <v>-1.6981968790528386</v>
      </c>
      <c r="AM535" s="26">
        <f t="shared" si="402"/>
        <v>3.9106160924699811</v>
      </c>
      <c r="AN535" s="26">
        <f t="shared" si="402"/>
        <v>1.1060083947913648</v>
      </c>
      <c r="AO535" s="26">
        <f t="shared" si="402"/>
        <v>0.55284679627126865</v>
      </c>
      <c r="AP535" s="26">
        <f t="shared" si="402"/>
        <v>0.55101990336889661</v>
      </c>
      <c r="AQ535" s="26">
        <f t="shared" si="402"/>
        <v>0.59049823946666369</v>
      </c>
      <c r="AR535" s="26">
        <f t="shared" si="402"/>
        <v>0.62911483015140945</v>
      </c>
      <c r="AS535" s="26">
        <f t="shared" si="402"/>
        <v>0.53402024692841477</v>
      </c>
      <c r="AT535" s="26">
        <f t="shared" si="402"/>
        <v>0.63757664949717929</v>
      </c>
      <c r="AU535" s="26">
        <f t="shared" si="402"/>
        <v>0.66003918275958573</v>
      </c>
      <c r="AV535" s="26">
        <f t="shared" si="402"/>
        <v>0.64346604787493888</v>
      </c>
      <c r="AW535" s="26">
        <f t="shared" si="402"/>
        <v>0.65618417092988268</v>
      </c>
      <c r="AX535" s="26">
        <f t="shared" si="402"/>
        <v>0.65146147821133582</v>
      </c>
      <c r="AY535" s="26"/>
      <c r="BA535" s="9"/>
      <c r="BB535" s="9"/>
      <c r="BC535" s="9"/>
      <c r="BD535" s="9"/>
      <c r="BE535" s="9"/>
      <c r="BF535" s="9"/>
      <c r="BG535" s="9"/>
      <c r="BH535" s="9"/>
    </row>
    <row r="536" spans="3:60" x14ac:dyDescent="0.2">
      <c r="C536" s="9" t="s">
        <v>145</v>
      </c>
      <c r="D536" s="26"/>
      <c r="E536" s="26"/>
      <c r="F536" s="26">
        <f>F109/F130</f>
        <v>7.7127448758423742E-2</v>
      </c>
      <c r="G536" s="26"/>
      <c r="H536" s="26">
        <f>H109/H130</f>
        <v>0.42257975931804603</v>
      </c>
      <c r="I536" s="26"/>
      <c r="J536" s="26">
        <f>J109/J130</f>
        <v>0.45243443392596566</v>
      </c>
      <c r="K536" s="26"/>
      <c r="L536" s="26">
        <f>L109/L130</f>
        <v>0.41896577599121981</v>
      </c>
      <c r="M536" s="26"/>
      <c r="N536" s="26">
        <f>N109/N130</f>
        <v>0.38092327751293648</v>
      </c>
      <c r="O536" s="26"/>
      <c r="P536" s="26">
        <f>P109/P130</f>
        <v>0.21632380740576004</v>
      </c>
      <c r="Q536" s="26"/>
      <c r="R536" s="26">
        <f>R109/R130</f>
        <v>0.2050232707430589</v>
      </c>
      <c r="S536" s="35"/>
      <c r="T536" s="26">
        <f>T109/T130</f>
        <v>0.2647287447017585</v>
      </c>
      <c r="U536" s="35"/>
      <c r="V536" s="26">
        <f>V109/V130</f>
        <v>0.27933128871249024</v>
      </c>
      <c r="W536" s="26">
        <f>W109/W130</f>
        <v>0.28616827196578848</v>
      </c>
      <c r="X536" s="26">
        <f>X109/X130</f>
        <v>0.31039674655407923</v>
      </c>
      <c r="Y536" s="26"/>
      <c r="Z536" s="26">
        <f t="shared" ref="Z536:AX536" si="403">Z109/Z130</f>
        <v>0.28652617200839064</v>
      </c>
      <c r="AA536" s="26">
        <f t="shared" si="403"/>
        <v>0.28654469220506956</v>
      </c>
      <c r="AB536" s="26">
        <f t="shared" si="403"/>
        <v>0.27948111886545163</v>
      </c>
      <c r="AC536" s="158">
        <f t="shared" si="403"/>
        <v>4.1726768377253816</v>
      </c>
      <c r="AD536" s="26">
        <f t="shared" si="403"/>
        <v>0.246919053107545</v>
      </c>
      <c r="AE536" s="26">
        <f t="shared" si="403"/>
        <v>0.23864863809684933</v>
      </c>
      <c r="AF536" s="26">
        <f t="shared" si="403"/>
        <v>0.20877231457520068</v>
      </c>
      <c r="AG536" s="26">
        <f t="shared" si="403"/>
        <v>0.21044663133989402</v>
      </c>
      <c r="AH536" s="26">
        <f t="shared" si="403"/>
        <v>0.20918591003577641</v>
      </c>
      <c r="AI536" s="26">
        <f t="shared" si="403"/>
        <v>0.21260807106912141</v>
      </c>
      <c r="AJ536" s="26">
        <f t="shared" si="403"/>
        <v>0.22849654515129855</v>
      </c>
      <c r="AK536" s="26">
        <f t="shared" si="403"/>
        <v>-0.35074626865671643</v>
      </c>
      <c r="AL536" s="26">
        <f t="shared" si="403"/>
        <v>-0.42831443751830311</v>
      </c>
      <c r="AM536" s="26">
        <f t="shared" si="403"/>
        <v>0.97615306924026479</v>
      </c>
      <c r="AN536" s="26">
        <f t="shared" si="403"/>
        <v>0.26633602782519084</v>
      </c>
      <c r="AO536" s="26">
        <f t="shared" si="403"/>
        <v>0.109141629414007</v>
      </c>
      <c r="AP536" s="26">
        <f t="shared" si="403"/>
        <v>0.10262519994063618</v>
      </c>
      <c r="AQ536" s="26">
        <f t="shared" si="403"/>
        <v>0.11097901580782599</v>
      </c>
      <c r="AR536" s="26">
        <f t="shared" si="403"/>
        <v>0.12151717514021909</v>
      </c>
      <c r="AS536" s="26">
        <f t="shared" si="403"/>
        <v>8.0942653729460176E-2</v>
      </c>
      <c r="AT536" s="26">
        <f t="shared" si="403"/>
        <v>0.12814160739105551</v>
      </c>
      <c r="AU536" s="26">
        <f t="shared" si="403"/>
        <v>0.14164567590260285</v>
      </c>
      <c r="AV536" s="26">
        <f t="shared" si="403"/>
        <v>0.16060495033382186</v>
      </c>
      <c r="AW536" s="26">
        <f t="shared" si="403"/>
        <v>0.16540024074631357</v>
      </c>
      <c r="AX536" s="26">
        <f t="shared" si="403"/>
        <v>0.18185702079179722</v>
      </c>
      <c r="AY536" s="26"/>
      <c r="BA536" s="9"/>
      <c r="BB536" s="9"/>
      <c r="BC536" s="9"/>
      <c r="BD536" s="9"/>
      <c r="BE536" s="9"/>
      <c r="BF536" s="9"/>
      <c r="BG536" s="9"/>
      <c r="BH536" s="9"/>
    </row>
    <row r="537" spans="3:60" x14ac:dyDescent="0.2">
      <c r="C537" s="9" t="s">
        <v>146</v>
      </c>
      <c r="D537" s="26"/>
      <c r="E537" s="26"/>
      <c r="F537" s="26">
        <f>(-F96*F4)/AVERAGE(D70:F70)</f>
        <v>8.631473393750741E-2</v>
      </c>
      <c r="G537" s="26"/>
      <c r="H537" s="26">
        <f>(-H96*H4)/AVERAGE(F70:H70)</f>
        <v>8.5464278055142492E-2</v>
      </c>
      <c r="I537" s="26"/>
      <c r="J537" s="26">
        <f>(-J96*J4)/AVERAGE(H70:J70)</f>
        <v>8.2795885696434354E-2</v>
      </c>
      <c r="K537" s="26"/>
      <c r="L537" s="26">
        <f>(-L96*L4)/AVERAGE(J70:L70)</f>
        <v>8.1221234300022621E-2</v>
      </c>
      <c r="M537" s="26"/>
      <c r="N537" s="26">
        <f>(-N96*N4)/AVERAGE(L70:N70)</f>
        <v>8.3432987153787774E-2</v>
      </c>
      <c r="O537" s="26"/>
      <c r="P537" s="26">
        <f>(-P96*P4)/AVERAGE(N70:P70)</f>
        <v>9.0337189322256428E-2</v>
      </c>
      <c r="Q537" s="26"/>
      <c r="R537" s="26">
        <f>(-R96*R4)/AVERAGE(P70:R70)</f>
        <v>7.565832583336532E-2</v>
      </c>
      <c r="S537" s="35"/>
      <c r="T537" s="26">
        <f>(-T96*T4)/AVERAGE(R70,S70,T70)</f>
        <v>6.4585934768493072E-2</v>
      </c>
      <c r="U537" s="35"/>
      <c r="V537" s="26">
        <f>(-V96*V4)/AVERAGE(T70:V70)</f>
        <v>5.8914947947358083E-2</v>
      </c>
      <c r="W537" s="26">
        <f>(-W96*W4)/AVERAGE(T70,V70:W70)</f>
        <v>5.4447527212465638E-2</v>
      </c>
      <c r="X537" s="26">
        <f>(-X96*X4)/AVERAGE(T70,V70,X70,U70,W70)</f>
        <v>5.4443315155759162E-2</v>
      </c>
      <c r="Y537" s="26">
        <f>(-Y96*Y4)/AVERAGE(X70,Y70)</f>
        <v>5.11577412535918E-2</v>
      </c>
      <c r="Z537" s="26">
        <f>(-Z96*Z4)/AVERAGE(X70:Z70)</f>
        <v>5.33353797280244E-2</v>
      </c>
      <c r="AA537" s="26">
        <f>(-AA96*AA4)/AVERAGE(X70:Z70,AA70)</f>
        <v>5.4533571776619147E-2</v>
      </c>
      <c r="AB537" s="26">
        <f>(-AB96*AB4)/AVERAGE(X70,Z70,AB70)</f>
        <v>5.0792489078974455E-2</v>
      </c>
      <c r="AC537" s="26">
        <f>(-AC96*AC4)/AVERAGE(AB70,AC70)</f>
        <v>4.6906811435639302E-2</v>
      </c>
      <c r="AD537" s="26">
        <f>(-AD96*AD4)/AVERAGE(AB70:AD70)</f>
        <v>4.5584155532731707E-2</v>
      </c>
      <c r="AE537" s="26">
        <f>(-AE96*AE4)/AVERAGE(AB70:AE70)</f>
        <v>4.3791013393675457E-2</v>
      </c>
      <c r="AF537" s="26">
        <f>(-AF96*AF4)/AVERAGE(AB70:AF70)</f>
        <v>4.2591795876143909E-2</v>
      </c>
      <c r="AG537" s="26">
        <f>(-AG96*AG4)/AVERAGE(AF70,AG70)</f>
        <v>3.963989992439005E-2</v>
      </c>
      <c r="AH537" s="26">
        <f>(-AH96*AH4)/AVERAGE(AF70:AH70)</f>
        <v>4.0564293563835195E-2</v>
      </c>
      <c r="AI537" s="26">
        <f>(-AI96*AI4)/AVERAGE(AF70:AI70)</f>
        <v>4.1248464887474426E-2</v>
      </c>
      <c r="AJ537" s="26">
        <f>(-AJ96*AJ4)/AVERAGE(AF70:AJ70)</f>
        <v>4.2367126824731809E-2</v>
      </c>
      <c r="AK537" s="26">
        <f>(-AK96*AK4)/AVERAGE(AJ70,AK70)</f>
        <v>6.9227628305118111E-2</v>
      </c>
      <c r="AL537" s="26">
        <f>(-AL96*AL4)/AVERAGE(AJ70:AL70)</f>
        <v>9.4282092966798819E-2</v>
      </c>
      <c r="AM537" s="26">
        <f>(-AM96*AM4)/AVERAGE(AJ70:AM70)</f>
        <v>8.7175837287589902E-2</v>
      </c>
      <c r="AN537" s="26">
        <f>(-AN96*AN4)/AVERAGE(AJ70:AN70)</f>
        <v>8.0632004112796779E-2</v>
      </c>
      <c r="AO537" s="26">
        <f>(-AO96*AO4)/AVERAGE(AN70,AO70)</f>
        <v>6.2598598577730993E-2</v>
      </c>
      <c r="AP537" s="26">
        <f>(-AP96*AP4)/AVERAGE(AN70:AP70)</f>
        <v>6.2949521203619727E-2</v>
      </c>
      <c r="AQ537" s="26">
        <f>(-AQ96*AQ4)/AVERAGE(AN70:AQ70)</f>
        <v>6.7343273029053047E-2</v>
      </c>
      <c r="AR537" s="26">
        <f>(-AR96*AR4)/AVERAGE(AN70:AR70)</f>
        <v>7.8355550336505556E-2</v>
      </c>
      <c r="AS537" s="26">
        <f>(-AS96*AS4)/AVERAGE(AR70,AS70)</f>
        <v>0.11892629425298118</v>
      </c>
      <c r="AT537" s="26">
        <f>(-AT96*AT4)/AVERAGE(AR70:AT70)</f>
        <v>0.12345918967074984</v>
      </c>
      <c r="AU537" s="26">
        <f>(-AU96*AU4)/AVERAGE(AR70:AU70)</f>
        <v>0.13074569694288002</v>
      </c>
      <c r="AV537" s="26">
        <f>(-AV96*AV4)/AVERAGE(AR70:AV70)</f>
        <v>0.13886758172843644</v>
      </c>
      <c r="AW537" s="26">
        <f>(-AW96*AW4)/AVERAGE(AV70,AW70)</f>
        <v>0.17373969172631459</v>
      </c>
      <c r="AX537" s="26">
        <f>(-AX96*AX4)/AVERAGE(AV70:AX70)</f>
        <v>0.17365192673068028</v>
      </c>
      <c r="AY537" s="35"/>
      <c r="BA537" s="136"/>
      <c r="BB537" s="136"/>
      <c r="BC537" s="136"/>
      <c r="BD537" s="9"/>
      <c r="BE537" s="9"/>
      <c r="BF537" s="9"/>
      <c r="BG537" s="9"/>
      <c r="BH537" s="9"/>
    </row>
    <row r="538" spans="3:60" x14ac:dyDescent="0.2">
      <c r="C538" s="9" t="s">
        <v>30</v>
      </c>
      <c r="D538" s="26"/>
      <c r="E538" s="26"/>
      <c r="F538" s="26">
        <f>-F135/SUM(F99+F109)</f>
        <v>0.49338812104470497</v>
      </c>
      <c r="G538" s="26"/>
      <c r="H538" s="26">
        <f>-H135/SUM(H99+H109)</f>
        <v>0.41303162341595956</v>
      </c>
      <c r="I538" s="26"/>
      <c r="J538" s="26">
        <f>-J135/SUM(J99+J109)</f>
        <v>0.43171738045690156</v>
      </c>
      <c r="K538" s="26"/>
      <c r="L538" s="26">
        <f>-L135/SUM(L99+L109)</f>
        <v>0.41361171239346378</v>
      </c>
      <c r="M538" s="26"/>
      <c r="N538" s="26">
        <f>-N135/SUM(N99+N109)</f>
        <v>0.45519524490256563</v>
      </c>
      <c r="O538" s="26"/>
      <c r="P538" s="26">
        <f>-P135/SUM(P99+P109)</f>
        <v>0.38537893058976957</v>
      </c>
      <c r="Q538" s="26"/>
      <c r="R538" s="258">
        <f>-R135/SUM(R99+R109)</f>
        <v>0.3607354392892399</v>
      </c>
      <c r="S538" s="256"/>
      <c r="T538" s="258">
        <f>-T135/SUM(T99+T109)</f>
        <v>0.47601316924041703</v>
      </c>
      <c r="U538" s="256"/>
      <c r="V538" s="258">
        <f t="shared" ref="V538:AA538" si="404">-V135/SUM(V99+V109)</f>
        <v>0.51240181219647341</v>
      </c>
      <c r="W538" s="258">
        <f t="shared" si="404"/>
        <v>0.51456810460207969</v>
      </c>
      <c r="X538" s="26">
        <f t="shared" si="404"/>
        <v>0.51471634358883156</v>
      </c>
      <c r="Y538" s="258">
        <f t="shared" si="404"/>
        <v>0.5155859671988704</v>
      </c>
      <c r="Z538" s="258">
        <f t="shared" si="404"/>
        <v>0.50093679905000654</v>
      </c>
      <c r="AA538" s="258">
        <f t="shared" si="404"/>
        <v>0.483039208954199</v>
      </c>
      <c r="AB538" s="26">
        <f t="shared" ref="AB538:AX538" si="405">-AB135/SUM(AB99+AB109+AB139+AB140)</f>
        <v>0.49070371851259498</v>
      </c>
      <c r="AC538" s="26">
        <f t="shared" si="405"/>
        <v>0.41948144127593839</v>
      </c>
      <c r="AD538" s="26">
        <f t="shared" si="405"/>
        <v>0.42831253346513448</v>
      </c>
      <c r="AE538" s="26">
        <f t="shared" si="405"/>
        <v>0.40138234612711404</v>
      </c>
      <c r="AF538" s="26">
        <f t="shared" si="405"/>
        <v>0.41225078573543883</v>
      </c>
      <c r="AG538" s="26">
        <f t="shared" si="405"/>
        <v>0.44539364077841975</v>
      </c>
      <c r="AH538" s="26">
        <f t="shared" si="405"/>
        <v>0.438915696430416</v>
      </c>
      <c r="AI538" s="26">
        <f t="shared" si="405"/>
        <v>0.43067242262383842</v>
      </c>
      <c r="AJ538" s="26">
        <f t="shared" si="405"/>
        <v>0.42016970263116926</v>
      </c>
      <c r="AK538" s="26">
        <f t="shared" si="405"/>
        <v>0.54962733792715512</v>
      </c>
      <c r="AL538" s="26">
        <f t="shared" si="405"/>
        <v>0.70306941948732993</v>
      </c>
      <c r="AM538" s="26">
        <f t="shared" si="405"/>
        <v>0.59118497869878506</v>
      </c>
      <c r="AN538" s="26">
        <f t="shared" si="405"/>
        <v>0.53054401499573345</v>
      </c>
      <c r="AO538" s="26">
        <f t="shared" si="405"/>
        <v>0.50560993077106708</v>
      </c>
      <c r="AP538" s="26">
        <f t="shared" si="405"/>
        <v>0.49367976733395952</v>
      </c>
      <c r="AQ538" s="26">
        <f t="shared" si="405"/>
        <v>0.46939211718772267</v>
      </c>
      <c r="AR538" s="26">
        <f t="shared" si="405"/>
        <v>0.5064865444408706</v>
      </c>
      <c r="AS538" s="26">
        <f t="shared" si="405"/>
        <v>0.5956914834244893</v>
      </c>
      <c r="AT538" s="26">
        <f t="shared" si="405"/>
        <v>0.5517925651541209</v>
      </c>
      <c r="AU538" s="26">
        <f t="shared" si="405"/>
        <v>0.54085641845404353</v>
      </c>
      <c r="AV538" s="26">
        <f t="shared" si="405"/>
        <v>0.54791129319853704</v>
      </c>
      <c r="AW538" s="26">
        <f t="shared" si="405"/>
        <v>0.6784080512351327</v>
      </c>
      <c r="AX538" s="26">
        <f t="shared" si="405"/>
        <v>0.64047714581870463</v>
      </c>
      <c r="AY538" s="26"/>
      <c r="AZ538" s="66"/>
      <c r="BA538" s="136"/>
      <c r="BB538" s="136"/>
      <c r="BC538" s="136"/>
      <c r="BD538" s="9"/>
      <c r="BE538" s="9"/>
      <c r="BF538" s="9"/>
      <c r="BG538" s="9"/>
      <c r="BH538" s="9"/>
    </row>
    <row r="539" spans="3:60" x14ac:dyDescent="0.2">
      <c r="C539" s="9" t="s">
        <v>147</v>
      </c>
      <c r="D539" s="35"/>
      <c r="E539" s="35"/>
      <c r="F539" s="35">
        <f>-F105/F130</f>
        <v>0.21129747660684789</v>
      </c>
      <c r="G539" s="35"/>
      <c r="H539" s="35">
        <f>-H105/H130</f>
        <v>0.15662490205207874</v>
      </c>
      <c r="I539" s="35"/>
      <c r="J539" s="35">
        <f>-J105/J130</f>
        <v>0.26961115026989452</v>
      </c>
      <c r="K539" s="35"/>
      <c r="L539" s="35">
        <f>-L105/L130</f>
        <v>0.3442436311284377</v>
      </c>
      <c r="M539" s="35"/>
      <c r="N539" s="35">
        <f>-N105/N130</f>
        <v>0.45373426231512037</v>
      </c>
      <c r="O539" s="35"/>
      <c r="P539" s="35">
        <f>-P105/P130</f>
        <v>0.20062270654953854</v>
      </c>
      <c r="Q539" s="35"/>
      <c r="R539" s="26">
        <f>-R105/R130</f>
        <v>7.5220670839351633E-2</v>
      </c>
      <c r="S539" s="35"/>
      <c r="T539" s="26">
        <f>-T105/T130</f>
        <v>6.5089538448000236E-2</v>
      </c>
      <c r="U539" s="35"/>
      <c r="V539" s="26">
        <f>-V105/V130</f>
        <v>0.13353178182692885</v>
      </c>
      <c r="W539" s="26">
        <f>-W105/W130</f>
        <v>0.12931321968730997</v>
      </c>
      <c r="X539" s="26">
        <f>-X105/X130</f>
        <v>0.11591953309325717</v>
      </c>
      <c r="Y539" s="26"/>
      <c r="Z539" s="26">
        <f t="shared" ref="Z539:AX539" si="406">-Z105/Z130</f>
        <v>8.2955266110541978E-2</v>
      </c>
      <c r="AA539" s="26">
        <f t="shared" si="406"/>
        <v>7.1342354361222285E-2</v>
      </c>
      <c r="AB539" s="26">
        <f t="shared" si="406"/>
        <v>8.7813238638273089E-2</v>
      </c>
      <c r="AC539" s="158">
        <f t="shared" si="406"/>
        <v>3.825242718446602</v>
      </c>
      <c r="AD539" s="26">
        <f t="shared" si="406"/>
        <v>0.25483198865147622</v>
      </c>
      <c r="AE539" s="26">
        <f t="shared" si="406"/>
        <v>0.22337033614867063</v>
      </c>
      <c r="AF539" s="26">
        <f t="shared" si="406"/>
        <v>0.18366595026097635</v>
      </c>
      <c r="AG539" s="26">
        <f t="shared" si="406"/>
        <v>9.3906131718395153E-2</v>
      </c>
      <c r="AH539" s="26">
        <f t="shared" si="406"/>
        <v>0.15447487874202809</v>
      </c>
      <c r="AI539" s="26">
        <f t="shared" si="406"/>
        <v>0.15781681017388316</v>
      </c>
      <c r="AJ539" s="26">
        <f t="shared" si="406"/>
        <v>0.20372981988421587</v>
      </c>
      <c r="AK539" s="26">
        <f t="shared" si="406"/>
        <v>-1.7922456682106709</v>
      </c>
      <c r="AL539" s="26">
        <f t="shared" si="406"/>
        <v>-1.2098481362172113</v>
      </c>
      <c r="AM539" s="26">
        <f t="shared" si="406"/>
        <v>2.377679272808888</v>
      </c>
      <c r="AN539" s="26">
        <f t="shared" si="406"/>
        <v>0.57906884373020728</v>
      </c>
      <c r="AO539" s="26">
        <f t="shared" si="406"/>
        <v>0.20686488546973006</v>
      </c>
      <c r="AP539" s="26">
        <f t="shared" si="406"/>
        <v>0.17480995333344326</v>
      </c>
      <c r="AQ539" s="26">
        <f t="shared" si="406"/>
        <v>0.16713974482221172</v>
      </c>
      <c r="AR539" s="26">
        <f t="shared" si="406"/>
        <v>0.14730027273633373</v>
      </c>
      <c r="AS539" s="26">
        <f t="shared" si="406"/>
        <v>0.25774279792123522</v>
      </c>
      <c r="AT539" s="26">
        <f t="shared" si="406"/>
        <v>0.26405036382961328</v>
      </c>
      <c r="AU539" s="26">
        <f t="shared" si="406"/>
        <v>0.28653792331374195</v>
      </c>
      <c r="AV539" s="26">
        <f t="shared" si="406"/>
        <v>0.30087526461488356</v>
      </c>
      <c r="AW539" s="26">
        <f t="shared" si="406"/>
        <v>0.22586894372554919</v>
      </c>
      <c r="AX539" s="26">
        <f t="shared" si="406"/>
        <v>0.3298205639418969</v>
      </c>
      <c r="AY539" s="26"/>
    </row>
    <row r="540" spans="3:60" x14ac:dyDescent="0.2">
      <c r="C540" s="9" t="s">
        <v>357</v>
      </c>
      <c r="D540" s="35"/>
      <c r="E540" s="35"/>
      <c r="F540" s="35">
        <f>(-F105*F$4)/AVERAGE(D199:F199)</f>
        <v>7.9492513889185309E-2</v>
      </c>
      <c r="G540" s="35"/>
      <c r="H540" s="35">
        <f>(-H105*H$4)/AVERAGE(F199:H199)</f>
        <v>6.4391539320883887E-2</v>
      </c>
      <c r="I540" s="35"/>
      <c r="J540" s="35">
        <f>(-J105*J$4)/AVERAGE(H199:J199)</f>
        <v>0.11152122945227876</v>
      </c>
      <c r="K540" s="35"/>
      <c r="L540" s="35">
        <f>(-L105*L$4)/AVERAGE(J199:L199)</f>
        <v>0.15111394614906992</v>
      </c>
      <c r="M540" s="35"/>
      <c r="N540" s="35">
        <f>(-N105*N$4)/AVERAGE(L199:N199)</f>
        <v>0.16870560342976554</v>
      </c>
      <c r="O540" s="35"/>
      <c r="P540" s="35">
        <f>(-P105*P$4)/AVERAGE(N199:P199)</f>
        <v>7.4424527869143511E-2</v>
      </c>
      <c r="Q540" s="35"/>
      <c r="R540" s="26">
        <f>(-R105*R$4)/AVERAGE(P199:R199)</f>
        <v>2.2760677009142471E-2</v>
      </c>
      <c r="S540" s="35"/>
      <c r="T540" s="26">
        <f>(-T105*T$4)/AVERAGE(R199:T199)</f>
        <v>1.7400395998196445E-2</v>
      </c>
      <c r="U540" s="35"/>
      <c r="V540" s="26">
        <f>(-V179*V$4)/AVERAGE(T199,V199,U199)</f>
        <v>2.8632616855269136E-2</v>
      </c>
      <c r="W540" s="26">
        <f>(-W105*W$4)/AVERAGE(T199,W199,V199)</f>
        <v>2.2399350310106293E-2</v>
      </c>
      <c r="X540" s="26">
        <f>(-X179*X$4)/AVERAGE(T199:X199)</f>
        <v>2.1367245401186612E-2</v>
      </c>
      <c r="Y540" s="26"/>
      <c r="Z540" s="26">
        <f>(-Z179*Z$4)/AVERAGE(X199,Z199,Y199)</f>
        <v>1.4012458706034774E-2</v>
      </c>
      <c r="AA540" s="26">
        <f>(-AA179*AA$4)/AVERAGE(X199:Z199,AA199)</f>
        <v>1.5568914324839997E-2</v>
      </c>
      <c r="AB540" s="26">
        <f>(-AB179*AB$4)/AVERAGE(X199:AB199)</f>
        <v>1.5978821451160665E-2</v>
      </c>
      <c r="AC540" s="26">
        <f>(-AC179*AC$4)/AVERAGE(AB199,AC199)</f>
        <v>3.192815078390851E-2</v>
      </c>
      <c r="AD540" s="26">
        <f>(-AD179*AD$4)/AVERAGE(AB199,AD199,AC199)</f>
        <v>3.3863586117072714E-2</v>
      </c>
      <c r="AE540" s="26">
        <f>(-AE179*AE$4)/AVERAGE(AB199:AE199)</f>
        <v>3.3000686570310411E-2</v>
      </c>
      <c r="AF540" s="26">
        <f>(-AF179*AF$4)/AVERAGE(AB199:AF199)</f>
        <v>2.9453138992269676E-2</v>
      </c>
      <c r="AG540" s="26">
        <f>(-AG179*AG$4)/AVERAGE(AF199,AG199)</f>
        <v>0.10337312939441329</v>
      </c>
      <c r="AH540" s="26">
        <f>(-AH179*AH$4)/AVERAGE(AF199:AH199)</f>
        <v>4.674384483416813E-2</v>
      </c>
      <c r="AI540" s="26">
        <f>(-AI179*AI$4)/AVERAGE(AF199:AI199)</f>
        <v>2.8943654851970989E-2</v>
      </c>
      <c r="AJ540" s="26">
        <f>(-AJ179*AJ$4)/AVERAGE(AF199:AJ199)</f>
        <v>3.3055142396847002E-2</v>
      </c>
      <c r="AK540" s="26">
        <f>(-AK179*AK$4)/AVERAGE(AJ199,AK199)</f>
        <v>6.7517651441261858E-2</v>
      </c>
      <c r="AL540" s="26">
        <f>(-AL179*AL$4)/AVERAGE(AJ199:AL199)</f>
        <v>4.7397583932714211E-2</v>
      </c>
      <c r="AM540" s="26">
        <f>(-AM179*AM$4)/AVERAGE(AJ199:AM199)</f>
        <v>4.4756824363791692E-2</v>
      </c>
      <c r="AN540" s="26">
        <f>(-AN179*AN$4)/AVERAGE(AJ199:AN199)</f>
        <v>3.9548789517034173E-2</v>
      </c>
      <c r="AO540" s="26">
        <f>(-AO179*AO$4)/AVERAGE(AN199,AO199)</f>
        <v>2.8170609721232785E-2</v>
      </c>
      <c r="AP540" s="26">
        <f>(-AP179*AP$4)/AVERAGE(AN199:AP199)</f>
        <v>2.6779934784322935E-2</v>
      </c>
      <c r="AQ540" s="26">
        <f>(-AQ179*AQ$4)/AVERAGE(AN199:AQ199)</f>
        <v>2.2279771242643822E-2</v>
      </c>
      <c r="AR540" s="26">
        <f>(-AR179*AR$4)/AVERAGE(AN199:AR199)</f>
        <v>1.8267894389687012E-2</v>
      </c>
      <c r="AS540" s="26">
        <f>(-AS179*AS$4)/AVERAGE(AR199,AS199)</f>
        <v>1.988393927833575E-2</v>
      </c>
      <c r="AT540" s="26">
        <f>(-AT179*AT$4)/AVERAGE(AR199:AT199)</f>
        <v>2.3768208059371482E-2</v>
      </c>
      <c r="AU540" s="26">
        <f>(-AU179*AU$4)/AVERAGE(AR199:AU199)</f>
        <v>2.5945826420138967E-2</v>
      </c>
      <c r="AV540" s="26">
        <f>(-AV179*AV$4)/AVERAGE(AR199:AV199)</f>
        <v>2.5578009414404197E-2</v>
      </c>
      <c r="AW540" s="26">
        <f>(-AW179*AW$4)/AVERAGE(AV199,AW199)</f>
        <v>2.229805956066221E-2</v>
      </c>
      <c r="AX540" s="26">
        <f>(-AX179*AX$4)/AVERAGE(AV199:AX199)</f>
        <v>2.9501652937878611E-2</v>
      </c>
      <c r="AY540" s="35"/>
      <c r="BA540" s="136"/>
      <c r="BB540" s="136"/>
    </row>
    <row r="541" spans="3:60" x14ac:dyDescent="0.2">
      <c r="C541" s="9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26"/>
      <c r="S541" s="9"/>
      <c r="T541" s="26"/>
      <c r="U541" s="35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</row>
    <row r="542" spans="3:60" x14ac:dyDescent="0.2">
      <c r="C542" s="47" t="s">
        <v>148</v>
      </c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26"/>
      <c r="S542" s="9"/>
      <c r="T542" s="26"/>
      <c r="U542" s="35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311"/>
    </row>
    <row r="543" spans="3:60" x14ac:dyDescent="0.2">
      <c r="C543" s="9" t="s">
        <v>400</v>
      </c>
      <c r="D543" s="35"/>
      <c r="E543" s="35"/>
      <c r="F543" s="35">
        <f>(F143*F$4)/AVERAGE(D35,E35,F35)</f>
        <v>4.3238029427069315E-2</v>
      </c>
      <c r="G543" s="35"/>
      <c r="H543" s="35">
        <f>(H143*H$4)/AVERAGE(F35,G35,H35)</f>
        <v>6.8108720835045378E-2</v>
      </c>
      <c r="I543" s="35"/>
      <c r="J543" s="35">
        <f>(J143*J$4)/AVERAGE(H35,I35,J35)</f>
        <v>4.7974953267851408E-2</v>
      </c>
      <c r="K543" s="35"/>
      <c r="L543" s="35">
        <f>(L143*L$4)/AVERAGE(J35,K35,L35)</f>
        <v>3.2674355530640034E-2</v>
      </c>
      <c r="M543" s="35"/>
      <c r="N543" s="35">
        <f>(N143*N$4)/AVERAGE(L35,M35,N35)</f>
        <v>6.4241774712161664E-3</v>
      </c>
      <c r="O543" s="35"/>
      <c r="P543" s="35">
        <f>(P143*P$4)/AVERAGE(N35,O35,P35)</f>
        <v>6.0367193037839155E-2</v>
      </c>
      <c r="Q543" s="35"/>
      <c r="R543" s="35">
        <f>(R143*R$4)/AVERAGE(P35,Q35,R35)</f>
        <v>6.4825733542001288E-2</v>
      </c>
      <c r="S543" s="35"/>
      <c r="T543" s="35">
        <f>(T143*T$4)/AVERAGE($R$35,$S$35,$T$35)</f>
        <v>4.7646771638910811E-2</v>
      </c>
      <c r="U543" s="35"/>
      <c r="V543" s="35">
        <f>V143*V$4/AVERAGE($T$35:$V$35)</f>
        <v>2.8698807986973669E-2</v>
      </c>
      <c r="W543" s="35">
        <f>W143*W$4/AVERAGE($V$35:$W$35,T35)</f>
        <v>2.5506032407703258E-2</v>
      </c>
      <c r="X543" s="35">
        <f>(X143*X$4)/AVERAGE(T35:X35)</f>
        <v>2.1551427706866196E-2</v>
      </c>
      <c r="Y543" s="35">
        <f>(Y143*Y$4)/AVERAGE($X$35,$Y$35)</f>
        <v>2.3897401600313353E-2</v>
      </c>
      <c r="Z543" s="35">
        <f>Z143*Z$4/AVERAGE($X$35:$Z$35)</f>
        <v>2.691488935519476E-2</v>
      </c>
      <c r="AA543" s="35">
        <f>AA143*AA$4/AVERAGE($X$35:$Z$35,AA35)</f>
        <v>3.0006585401681284E-2</v>
      </c>
      <c r="AB543" s="35">
        <f>(AB143*AB$4)/AVERAGE(X35:AB35)</f>
        <v>2.9941101166613294E-2</v>
      </c>
      <c r="AC543" s="35">
        <f>(AC143*AC$4)/AVERAGE($AC$35,$AB$35)</f>
        <v>-3.8156221111533786E-2</v>
      </c>
      <c r="AD543" s="35">
        <f>AD143*AD$4/AVERAGE(AB35:AD35)</f>
        <v>1.4886736282169464E-2</v>
      </c>
      <c r="AE543" s="35">
        <f>AE143*AE$4/AVERAGE(AB35:AE35)</f>
        <v>2.1053061264299906E-2</v>
      </c>
      <c r="AF543" s="35">
        <f>AF143*AF$4/AVERAGE(AB35:AF35)</f>
        <v>2.7921548717514785E-2</v>
      </c>
      <c r="AG543" s="35">
        <f>(AG143*AG$4)/AVERAGE($AG$35,$AF$35)</f>
        <v>2.5384501488090426E-2</v>
      </c>
      <c r="AH543" s="35">
        <f>(AH143*AH$4)/AVERAGE(AF35:AH35)</f>
        <v>3.1124239448696061E-2</v>
      </c>
      <c r="AI543" s="35">
        <f>AI143*AI$4/AVERAGE(AF35:AI35)</f>
        <v>3.1781832227408713E-2</v>
      </c>
      <c r="AJ543" s="35">
        <f>AJ143*AJ$4/AVERAGE(AF35:AJ35)</f>
        <v>2.7701274061333672E-2</v>
      </c>
      <c r="AK543" s="35">
        <f>(AK143*AK$4)/AVERAGE(AK35,AJ35)</f>
        <v>-7.5324273139821582E-2</v>
      </c>
      <c r="AL543" s="35">
        <f>(AL143*AL$4)/AVERAGE(AJ35:AL35)</f>
        <v>-7.202706433184336E-2</v>
      </c>
      <c r="AM543" s="35">
        <f>AM143*AM$4/AVERAGE(AJ35:AM35)</f>
        <v>-4.2154742257851929E-2</v>
      </c>
      <c r="AN543" s="35">
        <f>AN143*AN$4/AVERAGE(AJ35:AN35)</f>
        <v>-9.2542903493632797E-3</v>
      </c>
      <c r="AO543" s="35">
        <f>(AO143*AO$4)/AVERAGE(AO35,AN35)</f>
        <v>4.0526454419854176E-2</v>
      </c>
      <c r="AP543" s="35">
        <f>(AP143*AP$4)/AVERAGE(AN35:AP35)</f>
        <v>4.5374806230891226E-2</v>
      </c>
      <c r="AQ543" s="35">
        <f>AQ143*AQ$4/AVERAGE(AN35:AQ35)</f>
        <v>4.234925432369184E-2</v>
      </c>
      <c r="AR543" s="35">
        <f>AR143*AR$4/AVERAGE(AN35:AR35)</f>
        <v>3.7096837907943818E-2</v>
      </c>
      <c r="AS543" s="35">
        <f>(AS143*AS$4)/AVERAGE(AS35,AR35)</f>
        <v>2.9411025519038198E-2</v>
      </c>
      <c r="AT543" s="35">
        <f>(AT143*AT$4)/AVERAGE(AR35:AT35)</f>
        <v>2.191759677271591E-2</v>
      </c>
      <c r="AU543" s="35">
        <f>AU143*AU$4/AVERAGE(AR35:AU35)</f>
        <v>2.091289823672993E-2</v>
      </c>
      <c r="AV543" s="35">
        <f>AV143*AV$4/AVERAGE(AR35:AV35)</f>
        <v>2.0918901918263903E-2</v>
      </c>
      <c r="AW543" s="35">
        <f>(AW143*AW$4)/AVERAGE(AW35,AV35)</f>
        <v>1.2659776214521403E-2</v>
      </c>
      <c r="AX543" s="35">
        <f>(AX143*AX$4)/AVERAGE(AV35:AX35)</f>
        <v>8.889984978967598E-3</v>
      </c>
      <c r="AY543" s="35"/>
      <c r="BA543" s="136"/>
      <c r="BB543" s="136"/>
      <c r="BC543" s="136"/>
    </row>
    <row r="544" spans="3:60" x14ac:dyDescent="0.2">
      <c r="C544" s="9" t="s">
        <v>401</v>
      </c>
      <c r="D544" s="35"/>
      <c r="E544" s="35"/>
      <c r="F544" s="35">
        <f>F143*F$4/AVERAGE(D58,E58,F58)</f>
        <v>0.44747480362817288</v>
      </c>
      <c r="G544" s="35"/>
      <c r="H544" s="35">
        <f>H143*H$4/AVERAGE(F58,G58,H58)</f>
        <v>0.57066883462377949</v>
      </c>
      <c r="I544" s="35"/>
      <c r="J544" s="35">
        <f>J143*J$4/AVERAGE(H58,I58,J58)</f>
        <v>0.45137907169940222</v>
      </c>
      <c r="K544" s="35"/>
      <c r="L544" s="35">
        <f>L143*L$4/AVERAGE(J58,K58,L58)</f>
        <v>0.3236531680006427</v>
      </c>
      <c r="M544" s="35"/>
      <c r="N544" s="35">
        <f>N143*N$4/AVERAGE(L58,M58,N58)</f>
        <v>7.9902559147710106E-2</v>
      </c>
      <c r="O544" s="35"/>
      <c r="P544" s="35">
        <f>P143*P$4/AVERAGE(N58,O58,P58)</f>
        <v>0.9558055825042997</v>
      </c>
      <c r="Q544" s="35"/>
      <c r="R544" s="35">
        <f>R143*R$4/AVERAGE(P58,Q58,R58)</f>
        <v>0.72445012897987338</v>
      </c>
      <c r="S544" s="35"/>
      <c r="T544" s="35">
        <f>T143*T$4/AVERAGE($R$58,$S$58,$T$58)</f>
        <v>0.40688810611481097</v>
      </c>
      <c r="U544" s="35"/>
      <c r="V544" s="35">
        <f>V143*V$4/AVERAGE($T$58,$U$58,$V$58)</f>
        <v>0.23043023389130932</v>
      </c>
      <c r="W544" s="35">
        <f>W143*W$4/AVERAGE(T58:W58)</f>
        <v>0.21165111083350541</v>
      </c>
      <c r="X544" s="35">
        <f>X143*X$4/AVERAGE(T58:X58)</f>
        <v>0.17331352870650371</v>
      </c>
      <c r="Y544" s="35">
        <f>Y143*Y$4/AVERAGE($X$58,$Y$58)</f>
        <v>0.19393672962142602</v>
      </c>
      <c r="Z544" s="35">
        <f>Z143*Z$4/AVERAGE($X$58,$Y$58,$Z$58)</f>
        <v>0.2143022130318096</v>
      </c>
      <c r="AA544" s="35">
        <f>AA143*AA$4/AVERAGE($X$58:$Z$58,$AA$58)</f>
        <v>0.23540712478434339</v>
      </c>
      <c r="AB544" s="35">
        <f>AB143*AB$4/AVERAGE(X58:AB58)</f>
        <v>0.23696730899851576</v>
      </c>
      <c r="AC544" s="35">
        <f>AC143*AC$4/AVERAGE($AC$58,$AB$58)</f>
        <v>-0.34132930447762277</v>
      </c>
      <c r="AD544" s="35">
        <f>AD143*AD$4/AVERAGE(AB58,AC58,AD58)</f>
        <v>0.13604975554962206</v>
      </c>
      <c r="AE544" s="35">
        <f>AE143*AE$4/AVERAGE(AB58:AE58)</f>
        <v>0.19279085268932986</v>
      </c>
      <c r="AF544" s="35">
        <f>AF143*AF$4/AVERAGE(AB58:AF58)</f>
        <v>0.24720576327877289</v>
      </c>
      <c r="AG544" s="35">
        <f>AG143*AG$4/AVERAGE($AG$58,$AF$58)</f>
        <v>0.2089570509698726</v>
      </c>
      <c r="AH544" s="35">
        <f>AH143*AH$4/AVERAGE(AF58:AH58)</f>
        <v>0.26426991283335366</v>
      </c>
      <c r="AI544" s="35">
        <f>AI143*AI$4/AVERAGE(AF58:AI58)</f>
        <v>0.27041258605102231</v>
      </c>
      <c r="AJ544" s="35">
        <f>AJ143*AJ$4/AVERAGE(AF58:AJ58)</f>
        <v>0.23686630674589371</v>
      </c>
      <c r="AK544" s="35">
        <f>AK143*AK$4/AVERAGE(AK58,AJ58)</f>
        <v>-0.71548072775613236</v>
      </c>
      <c r="AL544" s="35">
        <f>AL143*AL$4/AVERAGE(AJ58:AL58)</f>
        <v>-0.72487926548250181</v>
      </c>
      <c r="AM544" s="35">
        <f>AM143*AM$4/AVERAGE(AJ58:AM58)</f>
        <v>-0.44641343612117024</v>
      </c>
      <c r="AN544" s="35">
        <f>AN143*AN$4/AVERAGE(AJ58:AN58)</f>
        <v>-9.9498092279487749E-2</v>
      </c>
      <c r="AO544" s="35">
        <f>AO143*AO$4/AVERAGE(AO58,AN58)</f>
        <v>0.44430342072704287</v>
      </c>
      <c r="AP544" s="35">
        <f>AP143*AP$4/AVERAGE(AN58:AP58)</f>
        <v>0.47401726318945303</v>
      </c>
      <c r="AQ544" s="35">
        <f>AQ143*AQ$4/AVERAGE(AN58:AQ58)</f>
        <v>0.44139927540000345</v>
      </c>
      <c r="AR544" s="35">
        <f>AR143*AR$4/AVERAGE(AN58:AR58)</f>
        <v>0.3890616031945005</v>
      </c>
      <c r="AS544" s="35">
        <f>AS143*AS$4/AVERAGE(AS58,AR58)</f>
        <v>0.30734402189522053</v>
      </c>
      <c r="AT544" s="35">
        <f>AT143*AT$4/AVERAGE(AR58:AT58)</f>
        <v>0.23137810721787902</v>
      </c>
      <c r="AU544" s="35">
        <f>AU143*AU$4/AVERAGE(AR58:AU58)</f>
        <v>0.21965738286797748</v>
      </c>
      <c r="AV544" s="35">
        <f>AV143*AV$4/AVERAGE(AR58:AV58)</f>
        <v>0.21912716831885423</v>
      </c>
      <c r="AW544" s="35">
        <f>AW143*AW$4/AVERAGE(AW58,AV58)</f>
        <v>0.13003373761419831</v>
      </c>
      <c r="AX544" s="35">
        <f>AX143*AX$4/AVERAGE(AV58:AX58)</f>
        <v>9.1376375207588748E-2</v>
      </c>
      <c r="AY544" s="35"/>
      <c r="BA544" s="136"/>
      <c r="BB544" s="136"/>
      <c r="BC544" s="136"/>
    </row>
    <row r="545" spans="3:55" x14ac:dyDescent="0.2">
      <c r="C545" s="9" t="s">
        <v>402</v>
      </c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>
        <f>R143*R$4/AVERAGE(P59,Q59,R59)</f>
        <v>0.7557852757516923</v>
      </c>
      <c r="S545" s="35"/>
      <c r="T545" s="35">
        <f>T143*T$4/AVERAGE(R59,S59,T59)</f>
        <v>0.41195564347608038</v>
      </c>
      <c r="U545" s="35"/>
      <c r="V545" s="35">
        <f>V143*V$4/AVERAGE($T$59,$U$59,$V$59)</f>
        <v>0.24071863011135025</v>
      </c>
      <c r="W545" s="35">
        <f>W143*W$4/AVERAGE(T59:W59)</f>
        <v>0.22213303222791253</v>
      </c>
      <c r="X545" s="35">
        <f>X143*X$4/AVERAGE(T59:X59)</f>
        <v>0.18249981800975468</v>
      </c>
      <c r="Y545" s="35">
        <f>Y143*Y$4/AVERAGE($X$59,$Y$59)</f>
        <v>0.20546810273405136</v>
      </c>
      <c r="Z545" s="35">
        <f>Z143*Z$4/AVERAGE(X59:Z59)</f>
        <v>0.2265003095219412</v>
      </c>
      <c r="AA545" s="35">
        <f>AA143*AA$4/AVERAGE($X$59:$AA$59)</f>
        <v>0.24841811688840282</v>
      </c>
      <c r="AB545" s="35">
        <f>AB143*AB$4/AVERAGE(X59:AB59)</f>
        <v>0.24961162507991083</v>
      </c>
      <c r="AC545" s="35">
        <f>AC143*AC$4/AVERAGE($AC$59,$AB$59)</f>
        <v>-0.38901467331691469</v>
      </c>
      <c r="AD545" s="35">
        <f>AD143*AD$4/AVERAGE(AB59,AC59,AD59)</f>
        <v>0.15724866711362256</v>
      </c>
      <c r="AE545" s="35">
        <f>AE143*AE$4/AVERAGE(AB59:AE59)</f>
        <v>0.22513404515042415</v>
      </c>
      <c r="AF545" s="35">
        <f>AF143*AF$4/AVERAGE(AB59:AF59)</f>
        <v>0.28832363207901046</v>
      </c>
      <c r="AG545" s="35">
        <f>AG143*AG$4/AVERAGE($AG$59,$AF$59)</f>
        <v>0.24333177351427235</v>
      </c>
      <c r="AH545" s="35">
        <f>AH143*AH$4/AVERAGE(AF59:AH59)</f>
        <v>0.30557595145203348</v>
      </c>
      <c r="AI545" s="35">
        <f>AI143*AI$4/AVERAGE(AF59:AI59)</f>
        <v>0.3107106011639108</v>
      </c>
      <c r="AJ545" s="35">
        <f>AJ143*AJ$4/AVERAGE(AF59:AJ59)</f>
        <v>0.27493611796329687</v>
      </c>
      <c r="AK545" s="35">
        <f>AK143*AK$4/AVERAGE(AK59,AJ59)</f>
        <v>-0.89718565458210431</v>
      </c>
      <c r="AL545" s="35">
        <f>AL143*AL$4/AVERAGE(AJ59:AL59)</f>
        <v>-0.89500542842296915</v>
      </c>
      <c r="AM545" s="35">
        <f>AM143*AM$4/AVERAGE(AJ59:AM59)</f>
        <v>-0.54522152313864192</v>
      </c>
      <c r="AN545" s="35">
        <f>AN143*AN$4/AVERAGE(AJ59:AN59)</f>
        <v>-0.1203652606024805</v>
      </c>
      <c r="AO545" s="35">
        <f>AO143*AO$4/AVERAGE(AO59,AN59)</f>
        <v>0.51785509506662686</v>
      </c>
      <c r="AP545" s="35">
        <f>AP143*AP$4/AVERAGE(AN59:AP59)</f>
        <v>0.55174071423230175</v>
      </c>
      <c r="AQ545" s="35">
        <f>AQ143*AQ$4/AVERAGE(AN59:AQ59)</f>
        <v>0.51417162444248687</v>
      </c>
      <c r="AR545" s="35">
        <f>AR143*AR$4/AVERAGE(AN59:AR59)</f>
        <v>0.45040459447188502</v>
      </c>
      <c r="AS545" s="35">
        <f>AS143*AS$4/AVERAGE(AS59,AR59)</f>
        <v>0.35609461832896472</v>
      </c>
      <c r="AT545" s="35">
        <f>AT143*AT$4/AVERAGE(AR59:AT59)</f>
        <v>0.26858486017636496</v>
      </c>
      <c r="AU545" s="35">
        <f>AU143*AU$4/AVERAGE(AR59:AU59)</f>
        <v>0.25586940338731567</v>
      </c>
      <c r="AV545" s="35">
        <f>AV143*AV$4/AVERAGE(AR59:AV59)</f>
        <v>0.25615428292455134</v>
      </c>
      <c r="AW545" s="35">
        <f>AW143*AW$4/AVERAGE(AW59,AV59)</f>
        <v>0.14715083077537078</v>
      </c>
      <c r="AX545" s="35">
        <f>AX143*AX$4/AVERAGE(AV59:AX59)</f>
        <v>0.10165484405255712</v>
      </c>
      <c r="AY545" s="35"/>
      <c r="BA545" s="136"/>
      <c r="BB545" s="136"/>
      <c r="BC545" s="136"/>
    </row>
    <row r="546" spans="3:55" x14ac:dyDescent="0.2">
      <c r="C546" s="9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40"/>
      <c r="S546" s="9"/>
      <c r="T546" s="40"/>
      <c r="U546" s="121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311"/>
    </row>
    <row r="547" spans="3:55" x14ac:dyDescent="0.2">
      <c r="C547" s="47" t="s">
        <v>149</v>
      </c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40"/>
      <c r="S547" s="9"/>
      <c r="T547" s="40"/>
      <c r="U547" s="121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</row>
    <row r="548" spans="3:55" x14ac:dyDescent="0.2">
      <c r="C548" s="9" t="s">
        <v>403</v>
      </c>
      <c r="D548" s="35"/>
      <c r="E548" s="35"/>
      <c r="F548" s="35">
        <f>(F175*F$4)/AVERAGE(D35,E35,F35)</f>
        <v>3.0758711794103416E-2</v>
      </c>
      <c r="G548" s="35"/>
      <c r="H548" s="35">
        <f>(H175*H$4)/AVERAGE(F35,G35,H35)</f>
        <v>6.6853327826355433E-2</v>
      </c>
      <c r="I548" s="35"/>
      <c r="J548" s="35">
        <f>(J175*J$4)/AVERAGE(H35,I35,J35)</f>
        <v>4.2071666338927671E-2</v>
      </c>
      <c r="K548" s="35"/>
      <c r="L548" s="35">
        <f>(L175*L$4)/AVERAGE(J35,K35,L35)</f>
        <v>3.0889584962708633E-2</v>
      </c>
      <c r="M548" s="35"/>
      <c r="N548" s="35">
        <f>(N175*N$4)/AVERAGE(L35,M35,N35)</f>
        <v>1.6605730320812542E-2</v>
      </c>
      <c r="O548" s="35"/>
      <c r="P548" s="35">
        <f>(P175*P$4)/AVERAGE(N35,O35,P35)</f>
        <v>1.7338575369495218E-2</v>
      </c>
      <c r="Q548" s="35"/>
      <c r="R548" s="35">
        <f>(R175*R$4)/AVERAGE(P35,Q35,R35)</f>
        <v>2.984911866939461E-2</v>
      </c>
      <c r="S548" s="35"/>
      <c r="T548" s="35">
        <f>(T175*T$4)/AVERAGE($R$35,$S$35,$T$35)</f>
        <v>2.6060952076090466E-2</v>
      </c>
      <c r="U548" s="35"/>
      <c r="V548" s="35">
        <f>V175*V$4/AVERAGE($T$35:$V$35)</f>
        <v>2.4190104502500896E-2</v>
      </c>
      <c r="W548" s="35">
        <f>W175*W$4/AVERAGE($V$35:$W$35,T35)</f>
        <v>2.4840116207620347E-2</v>
      </c>
      <c r="X548" s="35">
        <f>(X175*X$4)/AVERAGE(T35:X35)</f>
        <v>2.313917665698274E-2</v>
      </c>
      <c r="Y548" s="35">
        <f>(Y175*Y$4)/AVERAGE($X$35,$Y$35)</f>
        <v>2.1227226370063867E-2</v>
      </c>
      <c r="Z548" s="35">
        <f>Z175*Z$4/AVERAGE($X$35:$Z$35)</f>
        <v>2.2323198041699535E-2</v>
      </c>
      <c r="AA548" s="35">
        <f>AA175*AA$4/AVERAGE($X$35:$Z$35,AA35)</f>
        <v>2.5324605923304606E-2</v>
      </c>
      <c r="AB548" s="35">
        <f>(AB175*AB$4)/AVERAGE(X35:AB35)</f>
        <v>2.3322006760169718E-2</v>
      </c>
      <c r="AC548" s="35">
        <f>(AC175*AC$4)/AVERAGE($AC$35,$AB$35)</f>
        <v>2.0433130597283061E-2</v>
      </c>
      <c r="AD548" s="35">
        <f>AD175*AD$4/AVERAGE(AB35:AD35)</f>
        <v>1.889924893838877E-2</v>
      </c>
      <c r="AE548" s="35">
        <f>AE175*AE$4/AVERAGE(AB35:AE35)</f>
        <v>2.1561687040897955E-2</v>
      </c>
      <c r="AF548" s="35">
        <f>AF175*AF$4/AVERAGE(AB35:AF35)</f>
        <v>2.273508813986494E-2</v>
      </c>
      <c r="AG548" s="35">
        <f>(AG175*AG$4)/AVERAGE($AG$35,$AF$35)</f>
        <v>2.7939762565037277E-2</v>
      </c>
      <c r="AH548" s="35">
        <f>(AH175*AH$4)/AVERAGE(AF35:AH35)</f>
        <v>2.7385061804204955E-2</v>
      </c>
      <c r="AI548" s="35">
        <f>AI175*AI$4/AVERAGE(AF35:AI35)</f>
        <v>2.821465504990325E-2</v>
      </c>
      <c r="AJ548" s="35">
        <f>AJ175*AJ$4/AVERAGE(AF35:AJ35)</f>
        <v>3.0090742446272759E-2</v>
      </c>
      <c r="AK548" s="35">
        <f>(AK175*AK$4)/AVERAGE(AK35,AJ35)</f>
        <v>-6.1094766765526767E-3</v>
      </c>
      <c r="AL548" s="35">
        <f>(AL175*AL$4)/AVERAGE(AJ35:AL35)</f>
        <v>-1.0816961511316238E-2</v>
      </c>
      <c r="AM548" s="35">
        <f>AM175*AM$4/AVERAGE(AJ35:AM35)</f>
        <v>-4.1989067412305315E-3</v>
      </c>
      <c r="AN548" s="35">
        <f>AN175*AN$4/AVERAGE(AJ35:AN35)</f>
        <v>1.384841827978066E-2</v>
      </c>
      <c r="AO548" s="35">
        <f>(AO175*AO$4)/AVERAGE(AO35,AN35)</f>
        <v>1.7171557174132816E-2</v>
      </c>
      <c r="AP548" s="35">
        <f>(AP175*AP$4)/AVERAGE(AN35:AP35)</f>
        <v>2.2514949157709276E-2</v>
      </c>
      <c r="AQ548" s="35">
        <f>AQ175*AQ$4/AVERAGE(AN35:AQ35)</f>
        <v>2.53902598419803E-2</v>
      </c>
      <c r="AR548" s="35">
        <f>AR175*AR$4/AVERAGE(AN35:AR35)</f>
        <v>2.494961034970394E-2</v>
      </c>
      <c r="AS548" s="35">
        <f>(AS175*AS$4)/AVERAGE(AS35,AR35)</f>
        <v>1.4173823875705671E-2</v>
      </c>
      <c r="AT548" s="35">
        <f>(AT175*AT$4)/AVERAGE(AR35:AT35)</f>
        <v>1.7707642910605375E-2</v>
      </c>
      <c r="AU548" s="35">
        <f>AU175*AU$4/AVERAGE(AR35:AU35)</f>
        <v>2.0507960589343566E-2</v>
      </c>
      <c r="AV548" s="35">
        <f>AV175*AV$4/AVERAGE(AR35:AV35)</f>
        <v>2.0599622823807451E-2</v>
      </c>
      <c r="AW548" s="35">
        <f>(AW175*AW$4)/AVERAGE(AW35,AV35)</f>
        <v>1.3464140585522224E-2</v>
      </c>
      <c r="AX548" s="35">
        <f>(AX175*AX$4)/AVERAGE(AV35:AX35)</f>
        <v>8.6722074583205407E-3</v>
      </c>
      <c r="AY548" s="35"/>
      <c r="BA548" s="136"/>
      <c r="BB548" s="136"/>
      <c r="BC548" s="136"/>
    </row>
    <row r="549" spans="3:55" x14ac:dyDescent="0.2">
      <c r="C549" s="9" t="s">
        <v>401</v>
      </c>
      <c r="D549" s="35"/>
      <c r="E549" s="35"/>
      <c r="F549" s="35">
        <f>F175*F$4/AVERAGE(D58,E58,F58)</f>
        <v>0.31832506481678718</v>
      </c>
      <c r="G549" s="35"/>
      <c r="H549" s="35">
        <f>H175*H$4/AVERAGE(F58,G58,H58)</f>
        <v>0.5601501571845271</v>
      </c>
      <c r="I549" s="35"/>
      <c r="J549" s="35">
        <f>J175*J$4/AVERAGE(H58,I58,J58)</f>
        <v>0.39583716925968881</v>
      </c>
      <c r="K549" s="35"/>
      <c r="L549" s="35">
        <f>L175*L$4/AVERAGE(J58,K58,L58)</f>
        <v>0.30597426847579601</v>
      </c>
      <c r="M549" s="35"/>
      <c r="N549" s="35">
        <f>N175*N$4/AVERAGE(L58,M58,N58)</f>
        <v>0.20653855767444451</v>
      </c>
      <c r="O549" s="35"/>
      <c r="P549" s="35">
        <f>P175*P$4/AVERAGE(N58,O58,P58)</f>
        <v>0.27452505735105631</v>
      </c>
      <c r="Q549" s="35"/>
      <c r="R549" s="26">
        <f>R175*R$4/AVERAGE(P58,Q58,R58)</f>
        <v>0.33357428737721767</v>
      </c>
      <c r="S549" s="9"/>
      <c r="T549" s="35">
        <v>0.22600000000000001</v>
      </c>
      <c r="U549" s="35"/>
      <c r="V549" s="35">
        <f>V175*V$4/AVERAGE($T$58,$U$58,$V$58)</f>
        <v>0.19422867461591378</v>
      </c>
      <c r="W549" s="35">
        <f>W175*W$4/AVERAGE($T$58,$V$58,$W$58)</f>
        <v>0.19992746503484973</v>
      </c>
      <c r="X549" s="35">
        <f>X175*X$4/AVERAGE(T58:X58)</f>
        <v>0.18608198084747599</v>
      </c>
      <c r="Y549" s="35">
        <f>Y175*Y$4/AVERAGE($X$58,$Y$58)</f>
        <v>0.17226721674585327</v>
      </c>
      <c r="Z549" s="35">
        <f>Z175*Z$4/AVERAGE($X$58,$Y$58,$Z$58)</f>
        <v>0.17774216639535398</v>
      </c>
      <c r="AA549" s="35">
        <f>AA175*AA$4/AVERAGE($X$58:$Z$58,$AA$58)</f>
        <v>0.19867614348307883</v>
      </c>
      <c r="AB549" s="35">
        <f>AB175*AB$4/AVERAGE($X$58,$Z$58,$AB$58,Y58,AA58)</f>
        <v>0.18458082592383598</v>
      </c>
      <c r="AC549" s="35">
        <f>AC175*AC$4/AVERAGE($AC$58,$AB$58)</f>
        <v>0.18278608446796227</v>
      </c>
      <c r="AD549" s="35">
        <f>AD175*AD$4/AVERAGE(AB58,AC58,AD58)</f>
        <v>0.17272007439393802</v>
      </c>
      <c r="AE549" s="35">
        <f>AE175*AE$4/AVERAGE(AB58:AE58)</f>
        <v>0.19744853149143307</v>
      </c>
      <c r="AF549" s="35">
        <f>AF175*AF$4/AVERAGE(AB58:AF58)</f>
        <v>0.20128700143699374</v>
      </c>
      <c r="AG549" s="35">
        <f>AG175*AG$4/AVERAGE($AG$58,$AF$58)</f>
        <v>0.22999113821982006</v>
      </c>
      <c r="AH549" s="35">
        <f>AH175*AH$4/AVERAGE(AF58:AH58)</f>
        <v>0.23252127679657855</v>
      </c>
      <c r="AI549" s="35">
        <f>AI175*AI$4/AVERAGE(AF58:AI58)</f>
        <v>0.24006161073376048</v>
      </c>
      <c r="AJ549" s="35">
        <f>AJ175*AJ$4/AVERAGE(AF58:AJ58)</f>
        <v>0.25729802227541937</v>
      </c>
      <c r="AK549" s="35">
        <f>AK175*AK$4/AVERAGE(AK58,AJ58)</f>
        <v>-5.8031928308619862E-2</v>
      </c>
      <c r="AL549" s="35">
        <f>AL175*AL$4/AVERAGE(AJ58:AL58)</f>
        <v>-0.10886173395809058</v>
      </c>
      <c r="AM549" s="35">
        <f>AM175*AM$4/AVERAGE(AJ58:AM58)</f>
        <v>-4.4465896027532321E-2</v>
      </c>
      <c r="AN549" s="35">
        <f>AN175*AN$4/AVERAGE(AJ58:AN58)</f>
        <v>0.14889215141400483</v>
      </c>
      <c r="AO549" s="35">
        <f>AO175*AO$4/AVERAGE(AO58,AN58)</f>
        <v>0.18825682386711631</v>
      </c>
      <c r="AP549" s="35">
        <f>AP175*AP$4/AVERAGE(AN58:AP58)</f>
        <v>0.23520705578950102</v>
      </c>
      <c r="AQ549" s="35">
        <f>AQ175*AQ$4/AVERAGE(AN58:AQ58)</f>
        <v>0.2646384800735001</v>
      </c>
      <c r="AR549" s="35">
        <f>AR175*AR$4/AVERAGE(AN58:AR58)</f>
        <v>0.26166476576310294</v>
      </c>
      <c r="AS549" s="35">
        <f>AS175*AS$4/AVERAGE(AS58,AR58)</f>
        <v>0.14811588371082213</v>
      </c>
      <c r="AT549" s="35">
        <f>AT175*AT$4/AVERAGE(AR58:AT58)</f>
        <v>0.18693476946552418</v>
      </c>
      <c r="AU549" s="35">
        <f>AU175*AU$4/AVERAGE(AR58:AU58)</f>
        <v>0.21540414437168035</v>
      </c>
      <c r="AV549" s="35">
        <f>AV175*AV$4/AVERAGE(AR58:AV58)</f>
        <v>0.21578269430463426</v>
      </c>
      <c r="AW549" s="35">
        <f>AW175*AW$4/AVERAGE(AW58,AV58)</f>
        <v>0.13829569294362629</v>
      </c>
      <c r="AX549" s="35">
        <f>AX175*AX$4/AVERAGE(AV58:AX58)</f>
        <v>8.9137932680913648E-2</v>
      </c>
      <c r="AY549" s="35"/>
      <c r="BA549" s="136"/>
      <c r="BB549" s="136"/>
      <c r="BC549" s="136"/>
    </row>
    <row r="550" spans="3:55" x14ac:dyDescent="0.2">
      <c r="C550" s="9" t="s">
        <v>402</v>
      </c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26"/>
      <c r="S550" s="9"/>
      <c r="T550" s="35">
        <f>(T175*T$4)/AVERAGE($R$59,$S$59,$T$59)</f>
        <v>0.22532389735588307</v>
      </c>
      <c r="U550" s="35"/>
      <c r="V550" s="35">
        <f>V175*V$4/AVERAGE($T$59,$U$59,$V$59)</f>
        <v>0.20290072050154395</v>
      </c>
      <c r="W550" s="35">
        <f>W175*W$4/AVERAGE(T59:W59)</f>
        <v>0.21633354203792002</v>
      </c>
      <c r="X550" s="35">
        <f>X175*X$4/AVERAGE(T59:X59)</f>
        <v>0.19594504764292328</v>
      </c>
      <c r="Y550" s="35">
        <f>Y175*Y$4/AVERAGE($X$59,$Y$59)</f>
        <v>0.18251013233614724</v>
      </c>
      <c r="Z550" s="35">
        <f>Z175*Z$4/AVERAGE($X$59,$Y$59,$Z$59)</f>
        <v>0.18785926255307647</v>
      </c>
      <c r="AA550" s="35">
        <f>AA175*AA$4/AVERAGE($X$59:$AA$59)</f>
        <v>0.20965700795985034</v>
      </c>
      <c r="AB550" s="35">
        <f>AB175*AB$4/AVERAGE(X59:AB59)</f>
        <v>0.19442985664207973</v>
      </c>
      <c r="AC550" s="35">
        <f>AC175*AC$4/AVERAGE($AC$59,$AB$59)</f>
        <v>0.20832219209834643</v>
      </c>
      <c r="AD550" s="35">
        <f>AD175*AD$4/AVERAGE(AB59,AC59,AD59)</f>
        <v>0.19963285764454236</v>
      </c>
      <c r="AE550" s="35">
        <f>AE175*AE$4/AVERAGE(AB59:AE59)</f>
        <v>0.23057311062008437</v>
      </c>
      <c r="AF550" s="35">
        <f>AF175*AF$4/AVERAGE(AB59:AF59)</f>
        <v>0.23476717765337982</v>
      </c>
      <c r="AG550" s="35">
        <f>AG175*AG$4/AVERAGE($AG$59,$AF$59)</f>
        <v>0.26782609773557658</v>
      </c>
      <c r="AH550" s="35">
        <f>AH175*AH$4/AVERAGE(AF59:AH59)</f>
        <v>0.26886492536424866</v>
      </c>
      <c r="AI550" s="35">
        <f>AI175*AI$4/AVERAGE(AF59:AI59)</f>
        <v>0.27583659650142778</v>
      </c>
      <c r="AJ550" s="35">
        <f>AJ175*AJ$4/AVERAGE(AF59:AJ59)</f>
        <v>0.29865167560503636</v>
      </c>
      <c r="AK550" s="35">
        <f>AK175*AK$4/AVERAGE(AK59,AJ59)</f>
        <v>-7.2769833716579246E-2</v>
      </c>
      <c r="AL550" s="35">
        <f>AL175*AL$4/AVERAGE(AJ59:AL59)</f>
        <v>-0.13441113228031779</v>
      </c>
      <c r="AM550" s="35">
        <f>AM175*AM$4/AVERAGE(AJ59:AM59)</f>
        <v>-5.4307871578657324E-2</v>
      </c>
      <c r="AN550" s="35">
        <f>AN175*AN$4/AVERAGE(AJ59:AN59)</f>
        <v>0.18011845449528596</v>
      </c>
      <c r="AO550" s="35">
        <f>AO175*AO$4/AVERAGE(AO59,AN59)</f>
        <v>0.21942157289970413</v>
      </c>
      <c r="AP550" s="35">
        <f>AP175*AP$4/AVERAGE(AN59:AP59)</f>
        <v>0.2737733813333903</v>
      </c>
      <c r="AQ550" s="35">
        <f>AQ175*AQ$4/AVERAGE(AN59:AQ59)</f>
        <v>0.30826873711125524</v>
      </c>
      <c r="AR550" s="35">
        <f>AR175*AR$4/AVERAGE(AN59:AR59)</f>
        <v>0.30292121284503326</v>
      </c>
      <c r="AS550" s="35">
        <f>AS175*AS$4/AVERAGE(AS59,AR59)</f>
        <v>0.17160987467146413</v>
      </c>
      <c r="AT550" s="35">
        <f>AT175*AT$4/AVERAGE(AR59:AT59)</f>
        <v>0.21699481218298761</v>
      </c>
      <c r="AU550" s="35">
        <f>AU175*AU$4/AVERAGE(AR59:AU59)</f>
        <v>0.25091498946185431</v>
      </c>
      <c r="AV550" s="35">
        <f>AV175*AV$4/AVERAGE(AR59:AV59)</f>
        <v>0.2522446748670707</v>
      </c>
      <c r="AW550" s="35">
        <f>AW175*AW$4/AVERAGE(AW59,AV59)</f>
        <v>0.15650035508237325</v>
      </c>
      <c r="AX550" s="35">
        <f>AX175*AX$4/AVERAGE(AV59:AX59)</f>
        <v>9.9164610384906982E-2</v>
      </c>
      <c r="AY550" s="35"/>
      <c r="BA550" s="136"/>
      <c r="BB550" s="136"/>
      <c r="BC550" s="136"/>
    </row>
    <row r="551" spans="3:55" x14ac:dyDescent="0.2">
      <c r="C551" s="9"/>
      <c r="S551" s="9"/>
      <c r="U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</row>
    <row r="552" spans="3:55" x14ac:dyDescent="0.2">
      <c r="C552" s="1" t="s">
        <v>35</v>
      </c>
      <c r="S552" s="9"/>
      <c r="U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</row>
    <row r="553" spans="3:55" x14ac:dyDescent="0.2">
      <c r="C553" t="s">
        <v>37</v>
      </c>
      <c r="R553" s="7">
        <v>39383</v>
      </c>
      <c r="S553" s="9"/>
      <c r="T553" s="7">
        <v>61485</v>
      </c>
      <c r="U553" s="8"/>
      <c r="V553" s="7" t="s">
        <v>165</v>
      </c>
      <c r="W553" s="7"/>
      <c r="X553" s="7">
        <v>77134</v>
      </c>
      <c r="Y553" s="7"/>
      <c r="Z553" s="7"/>
      <c r="AA553" s="7">
        <v>63762</v>
      </c>
      <c r="AB553" s="8">
        <v>91427.610958629986</v>
      </c>
      <c r="AC553" s="7"/>
      <c r="AD553" s="7">
        <v>110447</v>
      </c>
      <c r="AE553" s="7">
        <v>117182</v>
      </c>
      <c r="AF553" s="7">
        <v>145424</v>
      </c>
      <c r="AG553" s="8">
        <v>195919.17420349998</v>
      </c>
      <c r="AH553" s="7">
        <v>200056.74820266</v>
      </c>
      <c r="AI553" s="7">
        <v>203035.41500300998</v>
      </c>
      <c r="AJ553" s="8">
        <v>221780.25361583001</v>
      </c>
      <c r="AK553" s="16"/>
      <c r="AL553" s="8">
        <v>186853.57261134553</v>
      </c>
      <c r="AM553" s="8">
        <v>211042.23331215259</v>
      </c>
      <c r="AN553" s="8">
        <v>230437.37514680997</v>
      </c>
      <c r="AO553" s="8">
        <v>213004.39785180002</v>
      </c>
      <c r="AP553" s="8">
        <v>211640.06389749999</v>
      </c>
      <c r="AQ553" s="8">
        <v>207401.92799454994</v>
      </c>
      <c r="AR553" s="8">
        <v>226248</v>
      </c>
      <c r="AS553" s="8">
        <v>233458</v>
      </c>
      <c r="AT553" s="8">
        <v>217314</v>
      </c>
      <c r="AU553" s="8">
        <v>227740</v>
      </c>
      <c r="AV553" s="8">
        <v>269889</v>
      </c>
      <c r="AW553" s="8">
        <v>283841</v>
      </c>
      <c r="AX553" s="8">
        <v>287810</v>
      </c>
      <c r="AY553" s="7"/>
      <c r="AZ553" s="6" t="s">
        <v>427</v>
      </c>
      <c r="BB553" s="12"/>
    </row>
    <row r="554" spans="3:55" x14ac:dyDescent="0.2">
      <c r="C554" t="s">
        <v>38</v>
      </c>
      <c r="R554" s="26">
        <f>R$553/R199</f>
        <v>0.15999788744124446</v>
      </c>
      <c r="S554" s="35"/>
      <c r="T554" s="26">
        <f>T$553/T199</f>
        <v>0.22336251680168562</v>
      </c>
      <c r="U554" s="35"/>
      <c r="V554" s="26"/>
      <c r="W554" s="26"/>
      <c r="X554" s="26">
        <f>X$553/X199</f>
        <v>0.13812801742045472</v>
      </c>
      <c r="AA554" s="26">
        <f>AA$553/AA199</f>
        <v>0.11111362824456081</v>
      </c>
      <c r="AB554" s="26">
        <f>AB$553/AB199</f>
        <v>0.15034246181094799</v>
      </c>
      <c r="AD554" s="26">
        <f t="shared" ref="AD554:AX554" si="407">AD$553/AD199</f>
        <v>0.15609361065846583</v>
      </c>
      <c r="AE554" s="26">
        <f t="shared" si="407"/>
        <v>0.16447358263610806</v>
      </c>
      <c r="AF554" s="26">
        <f t="shared" si="407"/>
        <v>0.19562275521597008</v>
      </c>
      <c r="AG554" s="35">
        <f t="shared" si="407"/>
        <v>0.23615247062365147</v>
      </c>
      <c r="AH554" s="26">
        <f t="shared" si="407"/>
        <v>0.19310347816103737</v>
      </c>
      <c r="AI554" s="26">
        <f t="shared" si="407"/>
        <v>0.17867110802789421</v>
      </c>
      <c r="AJ554" s="35">
        <f t="shared" si="407"/>
        <v>0.17713865538019113</v>
      </c>
      <c r="AK554" s="35">
        <f t="shared" si="407"/>
        <v>0</v>
      </c>
      <c r="AL554" s="35">
        <f t="shared" si="407"/>
        <v>0.15141356270990294</v>
      </c>
      <c r="AM554" s="35">
        <f t="shared" si="407"/>
        <v>0.15391633827698711</v>
      </c>
      <c r="AN554" s="35">
        <f t="shared" si="407"/>
        <v>0.15703498378236871</v>
      </c>
      <c r="AO554" s="35">
        <f t="shared" si="407"/>
        <v>0.13888134226489277</v>
      </c>
      <c r="AP554" s="35">
        <f t="shared" si="407"/>
        <v>0.13105248407512171</v>
      </c>
      <c r="AQ554" s="35">
        <f t="shared" si="407"/>
        <v>0.11462647150201835</v>
      </c>
      <c r="AR554" s="35">
        <f t="shared" si="407"/>
        <v>0.11410795287766409</v>
      </c>
      <c r="AS554" s="35">
        <f t="shared" si="407"/>
        <v>0.10011561467036954</v>
      </c>
      <c r="AT554" s="35">
        <f t="shared" si="407"/>
        <v>8.7779058227332715E-2</v>
      </c>
      <c r="AU554" s="35">
        <f t="shared" si="407"/>
        <v>8.7859603640305706E-2</v>
      </c>
      <c r="AV554" s="35">
        <f t="shared" si="407"/>
        <v>9.7008047790721502E-2</v>
      </c>
      <c r="AW554" s="35">
        <f t="shared" si="407"/>
        <v>0.10345070145334895</v>
      </c>
      <c r="AX554" s="35">
        <f t="shared" si="407"/>
        <v>0.10116376466568787</v>
      </c>
      <c r="AY554" s="135"/>
      <c r="BB554" s="135"/>
    </row>
    <row r="555" spans="3:55" x14ac:dyDescent="0.2">
      <c r="C555" t="s">
        <v>372</v>
      </c>
      <c r="R555" s="26">
        <f>R$553/R198</f>
        <v>0.24643330913823744</v>
      </c>
      <c r="S555" s="35"/>
      <c r="T555" s="26">
        <f>T$553/T198</f>
        <v>0.46770525098698473</v>
      </c>
      <c r="U555" s="35"/>
      <c r="V555" s="26"/>
      <c r="W555" s="26"/>
      <c r="X555" s="26">
        <f>X$553/X198</f>
        <v>0.21561891131094979</v>
      </c>
      <c r="AA555" s="26"/>
      <c r="AB555" s="26">
        <f>AB$553/AB198</f>
        <v>0.27374601693667716</v>
      </c>
      <c r="AD555" s="26">
        <f t="shared" ref="AD555:AX555" si="408">AD$553/AD198</f>
        <v>0.2615083367665374</v>
      </c>
      <c r="AE555" s="26">
        <f t="shared" si="408"/>
        <v>0.28997191393538968</v>
      </c>
      <c r="AF555" s="26">
        <f t="shared" si="408"/>
        <v>0.3441198115462249</v>
      </c>
      <c r="AG555" s="35">
        <f t="shared" si="408"/>
        <v>0.39849804778152481</v>
      </c>
      <c r="AH555" s="35">
        <f t="shared" si="408"/>
        <v>0.34405402214504988</v>
      </c>
      <c r="AI555" s="35">
        <f t="shared" si="408"/>
        <v>0.31408626893936253</v>
      </c>
      <c r="AJ555" s="35">
        <f t="shared" si="408"/>
        <v>0.31161166415982411</v>
      </c>
      <c r="AK555" s="35">
        <f t="shared" si="408"/>
        <v>0</v>
      </c>
      <c r="AL555" s="35">
        <f t="shared" si="408"/>
        <v>0.28100140853130962</v>
      </c>
      <c r="AM555" s="35">
        <f t="shared" si="408"/>
        <v>0.27545415821498692</v>
      </c>
      <c r="AN555" s="35">
        <f t="shared" si="408"/>
        <v>0.27408809735544315</v>
      </c>
      <c r="AO555" s="35">
        <f t="shared" si="408"/>
        <v>0.2422304733879497</v>
      </c>
      <c r="AP555" s="35">
        <f t="shared" si="408"/>
        <v>0.23564760638878279</v>
      </c>
      <c r="AQ555" s="35">
        <f t="shared" si="408"/>
        <v>0.20094029105509137</v>
      </c>
      <c r="AR555" s="35">
        <f t="shared" si="408"/>
        <v>0.19762515788315163</v>
      </c>
      <c r="AS555" s="35">
        <f t="shared" si="408"/>
        <v>0.18969313747954439</v>
      </c>
      <c r="AT555" s="35">
        <f t="shared" si="408"/>
        <v>0.16791415835456272</v>
      </c>
      <c r="AU555" s="35">
        <f t="shared" si="408"/>
        <v>0.17411155249340221</v>
      </c>
      <c r="AV555" s="35">
        <f t="shared" si="408"/>
        <v>0.18875626998492126</v>
      </c>
      <c r="AW555" s="35">
        <f t="shared" si="408"/>
        <v>0.2075270704013219</v>
      </c>
      <c r="AX555" s="35">
        <f t="shared" si="408"/>
        <v>0.19800856264400357</v>
      </c>
      <c r="AZ555" s="135" t="s">
        <v>373</v>
      </c>
      <c r="BB555" s="135"/>
    </row>
    <row r="556" spans="3:55" x14ac:dyDescent="0.2">
      <c r="C556" t="s">
        <v>371</v>
      </c>
      <c r="R556" s="26">
        <f>R$553/R35</f>
        <v>6.966385945175288E-2</v>
      </c>
      <c r="S556" s="26"/>
      <c r="T556" s="26">
        <f>T$553/T35</f>
        <v>8.9173443326241233E-2</v>
      </c>
      <c r="U556" s="26"/>
      <c r="V556" s="26"/>
      <c r="W556" s="26"/>
      <c r="X556" s="26">
        <f>X$553/X35</f>
        <v>7.9732976088583471E-2</v>
      </c>
      <c r="Y556" s="26"/>
      <c r="Z556" s="26"/>
      <c r="AA556" s="26">
        <f>AA$553/AA35</f>
        <v>6.3574455356697743E-2</v>
      </c>
      <c r="AB556" s="26">
        <f>AB$553/AB35</f>
        <v>8.0539195026251009E-2</v>
      </c>
      <c r="AC556" s="26"/>
      <c r="AD556" s="26">
        <f t="shared" ref="AD556:AX556" si="409">AD$553/AD35</f>
        <v>7.3277500708246776E-2</v>
      </c>
      <c r="AE556" s="26">
        <f t="shared" si="409"/>
        <v>7.4823750867597169E-2</v>
      </c>
      <c r="AF556" s="26">
        <f t="shared" si="409"/>
        <v>9.803688922446338E-2</v>
      </c>
      <c r="AG556" s="35">
        <f t="shared" si="409"/>
        <v>0.12169905706655086</v>
      </c>
      <c r="AH556" s="35">
        <f t="shared" si="409"/>
        <v>0.10789546396054951</v>
      </c>
      <c r="AI556" s="35">
        <f t="shared" si="409"/>
        <v>0.10611364880157438</v>
      </c>
      <c r="AJ556" s="35">
        <f t="shared" si="409"/>
        <v>0.10503167030182008</v>
      </c>
      <c r="AK556" s="35">
        <f t="shared" si="409"/>
        <v>0</v>
      </c>
      <c r="AL556" s="35">
        <f t="shared" si="409"/>
        <v>0.10084189233267934</v>
      </c>
      <c r="AM556" s="35">
        <f t="shared" si="409"/>
        <v>0.10702638930850578</v>
      </c>
      <c r="AN556" s="35">
        <f t="shared" si="409"/>
        <v>0.10544089022098728</v>
      </c>
      <c r="AO556" s="35">
        <f t="shared" si="409"/>
        <v>9.3765430962907084E-2</v>
      </c>
      <c r="AP556" s="35">
        <f t="shared" si="409"/>
        <v>8.9205092788821633E-2</v>
      </c>
      <c r="AQ556" s="35">
        <f t="shared" si="409"/>
        <v>7.4323116924352367E-2</v>
      </c>
      <c r="AR556" s="35">
        <f t="shared" si="409"/>
        <v>7.0946711884816022E-2</v>
      </c>
      <c r="AS556" s="35">
        <f t="shared" si="409"/>
        <v>6.4580466800221517E-2</v>
      </c>
      <c r="AT556" s="35">
        <f t="shared" si="409"/>
        <v>5.7264719879459337E-2</v>
      </c>
      <c r="AU556" s="35">
        <f t="shared" si="409"/>
        <v>5.9692964177406632E-2</v>
      </c>
      <c r="AV556" s="35">
        <f t="shared" si="409"/>
        <v>6.670073922457416E-2</v>
      </c>
      <c r="AW556" s="35">
        <f t="shared" si="409"/>
        <v>7.3239537651244371E-2</v>
      </c>
      <c r="AX556" s="35">
        <f t="shared" si="409"/>
        <v>7.3453110317225762E-2</v>
      </c>
      <c r="AY556" s="158"/>
      <c r="AZ556" s="135" t="s">
        <v>373</v>
      </c>
    </row>
    <row r="557" spans="3:55" x14ac:dyDescent="0.2">
      <c r="C557"/>
      <c r="S557" s="9"/>
      <c r="U557" s="9"/>
      <c r="AE557" s="26"/>
      <c r="AF557" s="26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</row>
    <row r="558" spans="3:55" x14ac:dyDescent="0.2">
      <c r="C558" t="s">
        <v>36</v>
      </c>
      <c r="R558" s="7">
        <v>7665</v>
      </c>
      <c r="S558" s="9"/>
      <c r="T558" s="7">
        <v>4317</v>
      </c>
      <c r="U558" s="8"/>
      <c r="V558" s="7">
        <v>7741</v>
      </c>
      <c r="W558" s="7"/>
      <c r="X558" s="7">
        <v>3797</v>
      </c>
      <c r="Y558" s="7"/>
      <c r="Z558" s="7"/>
      <c r="AA558" s="8">
        <v>1646</v>
      </c>
      <c r="AB558" s="7">
        <v>1270</v>
      </c>
      <c r="AC558" s="7">
        <v>7477</v>
      </c>
      <c r="AD558" s="7">
        <v>3097</v>
      </c>
      <c r="AE558" s="7">
        <v>1571</v>
      </c>
      <c r="AF558" s="7">
        <v>2547</v>
      </c>
      <c r="AG558" s="8">
        <v>2315</v>
      </c>
      <c r="AH558" s="8">
        <v>6189</v>
      </c>
      <c r="AI558" s="8">
        <v>14657</v>
      </c>
      <c r="AJ558" s="8">
        <v>23789</v>
      </c>
      <c r="AK558" s="8">
        <v>7789</v>
      </c>
      <c r="AL558" s="8">
        <v>5921</v>
      </c>
      <c r="AM558" s="8">
        <v>5890</v>
      </c>
      <c r="AN558" s="8">
        <v>5507</v>
      </c>
      <c r="AO558" s="8">
        <v>4803</v>
      </c>
      <c r="AP558" s="8">
        <v>5633</v>
      </c>
      <c r="AQ558" s="8">
        <v>12751</v>
      </c>
      <c r="AR558" s="8">
        <v>16632</v>
      </c>
      <c r="AS558" s="8">
        <v>16420</v>
      </c>
      <c r="AT558" s="8">
        <v>18209</v>
      </c>
      <c r="AU558" s="8">
        <v>10044</v>
      </c>
      <c r="AV558" s="8">
        <v>12705</v>
      </c>
      <c r="AW558" s="8">
        <v>16133</v>
      </c>
      <c r="AX558" s="8">
        <v>20115</v>
      </c>
      <c r="AZ558" s="135" t="s">
        <v>376</v>
      </c>
    </row>
    <row r="559" spans="3:55" x14ac:dyDescent="0.2">
      <c r="C559" t="s">
        <v>377</v>
      </c>
      <c r="R559" s="26">
        <f>R$558/R199</f>
        <v>3.113992857926361E-2</v>
      </c>
      <c r="S559" s="35"/>
      <c r="T559" s="26">
        <f>T$558/T199</f>
        <v>1.5682784175536747E-2</v>
      </c>
      <c r="U559" s="35"/>
      <c r="V559" s="26">
        <f>V$558/V199</f>
        <v>2.0488592451431899E-2</v>
      </c>
      <c r="W559" s="26"/>
      <c r="X559" s="26">
        <f>X$558/X199</f>
        <v>6.7994928584731319E-3</v>
      </c>
      <c r="Y559" s="26"/>
      <c r="Z559" s="26"/>
      <c r="AA559" s="35">
        <f t="shared" ref="AA559:AX559" si="410">AA$558/AA220</f>
        <v>2.9769655930781029E-3</v>
      </c>
      <c r="AB559" s="35">
        <f t="shared" si="410"/>
        <v>2.1701240559105976E-3</v>
      </c>
      <c r="AC559" s="35">
        <f t="shared" si="410"/>
        <v>1.1447880526813793E-2</v>
      </c>
      <c r="AD559" s="35">
        <f t="shared" si="410"/>
        <v>4.5677118669065807E-3</v>
      </c>
      <c r="AE559" s="35">
        <f t="shared" si="410"/>
        <v>2.3065324346029782E-3</v>
      </c>
      <c r="AF559" s="35">
        <f t="shared" si="410"/>
        <v>3.5817142728571589E-3</v>
      </c>
      <c r="AG559" s="35">
        <f t="shared" si="410"/>
        <v>2.9056778073993745E-3</v>
      </c>
      <c r="AH559" s="35">
        <f t="shared" si="410"/>
        <v>6.2031742531684902E-3</v>
      </c>
      <c r="AI559" s="35">
        <f t="shared" si="410"/>
        <v>1.3407415470713986E-2</v>
      </c>
      <c r="AJ559" s="35">
        <f t="shared" si="410"/>
        <v>1.9876259028871499E-2</v>
      </c>
      <c r="AK559" s="35">
        <f t="shared" si="410"/>
        <v>6.8368881230903194E-3</v>
      </c>
      <c r="AL559" s="35">
        <f t="shared" si="410"/>
        <v>5.0866342906675166E-3</v>
      </c>
      <c r="AM559" s="35">
        <f t="shared" si="410"/>
        <v>4.5535122732231056E-3</v>
      </c>
      <c r="AN559" s="35">
        <f t="shared" si="410"/>
        <v>3.9706573683922115E-3</v>
      </c>
      <c r="AO559" s="35">
        <f t="shared" si="410"/>
        <v>3.3179719682143397E-3</v>
      </c>
      <c r="AP559" s="35">
        <f t="shared" si="410"/>
        <v>3.6890968294593343E-3</v>
      </c>
      <c r="AQ559" s="35">
        <f t="shared" si="410"/>
        <v>7.4038675932291574E-3</v>
      </c>
      <c r="AR559" s="35">
        <f t="shared" si="410"/>
        <v>8.7789259328268591E-3</v>
      </c>
      <c r="AS559" s="35">
        <f t="shared" si="410"/>
        <v>7.3447843979244946E-3</v>
      </c>
      <c r="AT559" s="35">
        <f t="shared" si="410"/>
        <v>7.6873293105974025E-3</v>
      </c>
      <c r="AU559" s="35">
        <f t="shared" si="410"/>
        <v>4.058593416948547E-3</v>
      </c>
      <c r="AV559" s="35">
        <f t="shared" si="410"/>
        <v>4.7691602561720364E-3</v>
      </c>
      <c r="AW559" s="35">
        <f t="shared" si="410"/>
        <v>6.1575043271992385E-3</v>
      </c>
      <c r="AX559" s="35">
        <f t="shared" si="410"/>
        <v>7.4274727502401054E-3</v>
      </c>
    </row>
    <row r="560" spans="3:55" x14ac:dyDescent="0.2">
      <c r="C560" t="s">
        <v>375</v>
      </c>
      <c r="R560" s="26">
        <f>R$558/R56</f>
        <v>0.12015236542621563</v>
      </c>
      <c r="S560" s="35"/>
      <c r="T560" s="26">
        <f>T$558/T56</f>
        <v>5.1516742643022508E-2</v>
      </c>
      <c r="U560" s="35"/>
      <c r="V560" s="26">
        <f>V$558/V56</f>
        <v>7.9343603620224884E-2</v>
      </c>
      <c r="W560" s="26"/>
      <c r="X560" s="26">
        <f>X$558/X56</f>
        <v>3.3884238519338201E-2</v>
      </c>
      <c r="Y560" s="26"/>
      <c r="Z560" s="26"/>
      <c r="AA560" s="35">
        <f t="shared" ref="AA560:AX560" si="411">AA$558/AA58</f>
        <v>1.2351052015487588E-2</v>
      </c>
      <c r="AB560" s="35">
        <f t="shared" si="411"/>
        <v>9.1311725288314976E-3</v>
      </c>
      <c r="AC560" s="35">
        <f t="shared" si="411"/>
        <v>5.4871828742945626E-2</v>
      </c>
      <c r="AD560" s="35">
        <f t="shared" si="411"/>
        <v>1.9466111868859878E-2</v>
      </c>
      <c r="AE560" s="35">
        <f t="shared" si="411"/>
        <v>9.2330839440725489E-3</v>
      </c>
      <c r="AF560" s="35">
        <f t="shared" si="411"/>
        <v>1.3527078055542279E-2</v>
      </c>
      <c r="AG560" s="35">
        <f t="shared" si="411"/>
        <v>1.2347852060464471E-2</v>
      </c>
      <c r="AH560" s="35">
        <f t="shared" si="411"/>
        <v>2.9912134012546759E-2</v>
      </c>
      <c r="AI560" s="35">
        <f t="shared" si="411"/>
        <v>6.5527817021048304E-2</v>
      </c>
      <c r="AJ560" s="35">
        <f t="shared" si="411"/>
        <v>9.7916460864697547E-2</v>
      </c>
      <c r="AK560" s="35">
        <f t="shared" si="411"/>
        <v>4.2959335065164278E-2</v>
      </c>
      <c r="AL560" s="35">
        <f t="shared" si="411"/>
        <v>3.6940680292480849E-2</v>
      </c>
      <c r="AM560" s="35">
        <f t="shared" si="411"/>
        <v>3.7474153014156193E-2</v>
      </c>
      <c r="AN560" s="35">
        <f t="shared" si="411"/>
        <v>2.8665122452697603E-2</v>
      </c>
      <c r="AO560" s="35">
        <f t="shared" si="411"/>
        <v>2.2398291331679383E-2</v>
      </c>
      <c r="AP560" s="35">
        <f t="shared" si="411"/>
        <v>2.2786295052789125E-2</v>
      </c>
      <c r="AQ560" s="35">
        <f t="shared" si="411"/>
        <v>4.7360816547871533E-2</v>
      </c>
      <c r="AR560" s="35">
        <f t="shared" si="411"/>
        <v>5.5745298417667427E-2</v>
      </c>
      <c r="AS560" s="35">
        <f t="shared" si="411"/>
        <v>4.6549338897330643E-2</v>
      </c>
      <c r="AT560" s="35">
        <f t="shared" si="411"/>
        <v>5.1599356176960653E-2</v>
      </c>
      <c r="AU560" s="35">
        <f t="shared" si="411"/>
        <v>2.7269321199155098E-2</v>
      </c>
      <c r="AV560" s="35">
        <f t="shared" si="411"/>
        <v>3.2577674869420065E-2</v>
      </c>
      <c r="AW560" s="35">
        <f t="shared" si="411"/>
        <v>4.2315510616254215E-2</v>
      </c>
      <c r="AX560" s="35">
        <f t="shared" si="411"/>
        <v>5.2840904613169905E-2</v>
      </c>
    </row>
    <row r="561" spans="3:52" x14ac:dyDescent="0.2">
      <c r="C561"/>
      <c r="S561" s="9"/>
      <c r="U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</row>
    <row r="562" spans="3:52" x14ac:dyDescent="0.2">
      <c r="C562" t="s">
        <v>39</v>
      </c>
      <c r="R562" s="7">
        <v>17997</v>
      </c>
      <c r="S562" s="9"/>
      <c r="T562" s="7">
        <v>30497</v>
      </c>
      <c r="U562" s="8"/>
      <c r="V562" s="7">
        <v>58880</v>
      </c>
      <c r="W562" s="7"/>
      <c r="X562" s="7">
        <v>50114</v>
      </c>
      <c r="Y562" s="7"/>
      <c r="Z562" s="7"/>
      <c r="AA562" s="7">
        <v>116507.77601476002</v>
      </c>
      <c r="AB562" s="7">
        <v>108328.75693943999</v>
      </c>
      <c r="AC562" s="7"/>
      <c r="AD562" s="7"/>
      <c r="AE562" s="7">
        <v>134312</v>
      </c>
      <c r="AF562" s="7">
        <v>197507.23593100003</v>
      </c>
      <c r="AG562" s="8">
        <v>245477.48990672</v>
      </c>
      <c r="AH562" s="8">
        <v>256973.95424698998</v>
      </c>
      <c r="AI562" s="8">
        <v>278913.75525703002</v>
      </c>
      <c r="AJ562" s="8">
        <v>300875.82415677997</v>
      </c>
      <c r="AK562" s="8">
        <v>377828.45288216998</v>
      </c>
      <c r="AL562" s="8">
        <v>331114.82501466991</v>
      </c>
      <c r="AM562" s="16"/>
      <c r="AN562" s="8">
        <v>296210.42674950999</v>
      </c>
      <c r="AO562" s="8">
        <v>329883.43934171996</v>
      </c>
      <c r="AP562" s="8">
        <v>367812.11520404997</v>
      </c>
      <c r="AQ562" s="8">
        <v>457570.09378845996</v>
      </c>
      <c r="AR562" s="8">
        <v>472683.30113568995</v>
      </c>
      <c r="AS562" s="8">
        <v>521524.87559158</v>
      </c>
      <c r="AT562" s="8">
        <v>570786.62814357993</v>
      </c>
      <c r="AU562" s="8">
        <v>398938.35189947998</v>
      </c>
      <c r="AV562" s="8">
        <v>443455.01563664997</v>
      </c>
      <c r="AW562" s="8">
        <v>362939.86109719996</v>
      </c>
      <c r="AX562" s="8">
        <v>433024.52245674003</v>
      </c>
      <c r="AZ562" s="6" t="s">
        <v>151</v>
      </c>
    </row>
    <row r="563" spans="3:52" x14ac:dyDescent="0.2">
      <c r="C563" t="s">
        <v>40</v>
      </c>
      <c r="R563" s="26">
        <f>R$562/R39</f>
        <v>6.5096376782762505E-2</v>
      </c>
      <c r="S563" s="35"/>
      <c r="T563" s="26">
        <f>T$562/T39</f>
        <v>8.4970215706269475E-2</v>
      </c>
      <c r="U563" s="35"/>
      <c r="V563" s="26">
        <f>V$562/V39</f>
        <v>0.10165289541560635</v>
      </c>
      <c r="W563" s="26"/>
      <c r="X563" s="26">
        <f>X$562/X39</f>
        <v>8.3680373500936753E-2</v>
      </c>
      <c r="AA563" s="26">
        <f>AA$562/AA39</f>
        <v>0.1622571541782398</v>
      </c>
      <c r="AB563" s="26">
        <f>AB$562/AB39</f>
        <v>0.13995276322278749</v>
      </c>
      <c r="AE563" s="26">
        <f t="shared" ref="AE563:AX563" si="412">AE$562/AE39</f>
        <v>0.15395954767677114</v>
      </c>
      <c r="AF563" s="26">
        <f t="shared" si="412"/>
        <v>0.19778552015786213</v>
      </c>
      <c r="AG563" s="35">
        <f t="shared" si="412"/>
        <v>0.22193506236153326</v>
      </c>
      <c r="AH563" s="35">
        <f t="shared" si="412"/>
        <v>0.20506027886794453</v>
      </c>
      <c r="AI563" s="35">
        <f t="shared" si="412"/>
        <v>0.22335865134307287</v>
      </c>
      <c r="AJ563" s="35">
        <f t="shared" si="412"/>
        <v>0.21203624296892915</v>
      </c>
      <c r="AK563" s="35">
        <f t="shared" si="412"/>
        <v>0.26635755130392574</v>
      </c>
      <c r="AL563" s="35">
        <f t="shared" si="412"/>
        <v>0.24513006267132417</v>
      </c>
      <c r="AM563" s="35">
        <f t="shared" si="412"/>
        <v>0</v>
      </c>
      <c r="AN563" s="35">
        <f t="shared" si="412"/>
        <v>0.17549799313052633</v>
      </c>
      <c r="AO563" s="35">
        <f t="shared" si="412"/>
        <v>0.1824043859656693</v>
      </c>
      <c r="AP563" s="35">
        <f t="shared" si="412"/>
        <v>0.19780204700846357</v>
      </c>
      <c r="AQ563" s="35">
        <f t="shared" si="412"/>
        <v>0.2080604568755425</v>
      </c>
      <c r="AR563" s="35">
        <f t="shared" si="412"/>
        <v>0.18905766647949149</v>
      </c>
      <c r="AS563" s="35">
        <f t="shared" si="412"/>
        <v>0.19128952538677155</v>
      </c>
      <c r="AT563" s="35">
        <f t="shared" si="412"/>
        <v>0.20020246181265336</v>
      </c>
      <c r="AU563" s="35">
        <f t="shared" si="412"/>
        <v>0.1422329357918643</v>
      </c>
      <c r="AV563" s="35">
        <f t="shared" si="412"/>
        <v>0.14581297273157268</v>
      </c>
      <c r="AW563" s="35">
        <f t="shared" si="412"/>
        <v>0.12841419381698191</v>
      </c>
      <c r="AX563" s="35">
        <f t="shared" si="412"/>
        <v>0.14925662774152698</v>
      </c>
      <c r="AZ563" s="135" t="s">
        <v>373</v>
      </c>
    </row>
    <row r="564" spans="3:52" x14ac:dyDescent="0.2">
      <c r="C564" t="s">
        <v>374</v>
      </c>
      <c r="R564" s="26">
        <f>R$562/R58</f>
        <v>0.28157268915451528</v>
      </c>
      <c r="S564" s="35"/>
      <c r="T564" s="26">
        <f>T$562/T58</f>
        <v>0.35703247559062495</v>
      </c>
      <c r="U564" s="35"/>
      <c r="V564" s="26">
        <f>V$562/V56</f>
        <v>0.60350747721984765</v>
      </c>
      <c r="W564" s="26"/>
      <c r="X564" s="26">
        <f>X$562/X58</f>
        <v>0.43945771510750992</v>
      </c>
      <c r="AA564" s="26">
        <f>AA$562/AA56</f>
        <v>0.88743488273509763</v>
      </c>
      <c r="AB564" s="26">
        <f>AB$562/AB58</f>
        <v>0.77887288932903853</v>
      </c>
      <c r="AE564" s="26">
        <f t="shared" ref="AE564:AX564" si="413">AE$562/AE58</f>
        <v>0.78937872100335593</v>
      </c>
      <c r="AF564" s="26">
        <f t="shared" si="413"/>
        <v>1.0489579100797179</v>
      </c>
      <c r="AG564" s="35">
        <f t="shared" si="413"/>
        <v>1.3093389760442069</v>
      </c>
      <c r="AH564" s="35">
        <f t="shared" si="413"/>
        <v>1.2419840615883058</v>
      </c>
      <c r="AI564" s="35">
        <f t="shared" si="413"/>
        <v>1.246954323472478</v>
      </c>
      <c r="AJ564" s="35">
        <f t="shared" si="413"/>
        <v>1.2384167414006881</v>
      </c>
      <c r="AK564" s="35">
        <f t="shared" si="413"/>
        <v>2.0838694446678359</v>
      </c>
      <c r="AL564" s="35">
        <f t="shared" si="413"/>
        <v>2.0658008598155142</v>
      </c>
      <c r="AM564" s="35">
        <f t="shared" si="413"/>
        <v>0</v>
      </c>
      <c r="AN564" s="35">
        <f t="shared" si="413"/>
        <v>1.5418391419176534</v>
      </c>
      <c r="AO564" s="35">
        <f t="shared" si="413"/>
        <v>1.5383771350972784</v>
      </c>
      <c r="AP564" s="35">
        <f t="shared" si="413"/>
        <v>1.4878528991709477</v>
      </c>
      <c r="AQ564" s="35">
        <f t="shared" si="413"/>
        <v>1.6995446058903318</v>
      </c>
      <c r="AR564" s="35">
        <f t="shared" si="413"/>
        <v>1.5842876189789077</v>
      </c>
      <c r="AS564" s="35">
        <f t="shared" si="413"/>
        <v>1.4784797915530243</v>
      </c>
      <c r="AT564" s="35">
        <f t="shared" si="413"/>
        <v>1.6174541450176823</v>
      </c>
      <c r="AU564" s="35">
        <f t="shared" si="413"/>
        <v>1.0831121123664362</v>
      </c>
      <c r="AV564" s="35">
        <f t="shared" si="413"/>
        <v>1.1370903832053816</v>
      </c>
      <c r="AW564" s="35">
        <f t="shared" si="413"/>
        <v>0.95196092142319433</v>
      </c>
      <c r="AX564" s="35">
        <f t="shared" si="413"/>
        <v>1.1375295792344047</v>
      </c>
    </row>
    <row r="565" spans="3:52" x14ac:dyDescent="0.2">
      <c r="C565"/>
      <c r="R565" s="26"/>
      <c r="S565" s="9"/>
      <c r="U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</row>
    <row r="566" spans="3:52" x14ac:dyDescent="0.2">
      <c r="C566"/>
      <c r="R566" s="26"/>
      <c r="S566" s="9"/>
      <c r="U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</row>
    <row r="567" spans="3:52" x14ac:dyDescent="0.2">
      <c r="C567" t="s">
        <v>153</v>
      </c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>
        <v>8703</v>
      </c>
      <c r="S567" s="8"/>
      <c r="T567" s="7">
        <v>11480</v>
      </c>
      <c r="U567" s="8">
        <v>11801</v>
      </c>
      <c r="V567" s="7">
        <v>15120</v>
      </c>
      <c r="W567" s="7">
        <v>15681</v>
      </c>
      <c r="X567" s="7">
        <v>15700</v>
      </c>
      <c r="Y567" s="7">
        <v>15331</v>
      </c>
      <c r="Z567" s="7">
        <v>15148.640000000019</v>
      </c>
      <c r="AA567" s="7">
        <v>15428</v>
      </c>
      <c r="AB567" s="7">
        <v>15663.870000000015</v>
      </c>
      <c r="AC567" s="7">
        <v>15844</v>
      </c>
      <c r="AD567" s="7">
        <v>15811</v>
      </c>
      <c r="AE567" s="7">
        <v>16478</v>
      </c>
      <c r="AF567" s="7">
        <v>16905</v>
      </c>
      <c r="AG567" s="8">
        <v>17555</v>
      </c>
      <c r="AH567" s="7">
        <v>24466</v>
      </c>
      <c r="AI567" s="7">
        <v>22651</v>
      </c>
      <c r="AJ567" s="7">
        <v>23453</v>
      </c>
      <c r="AK567" s="7">
        <v>23096</v>
      </c>
      <c r="AL567" s="7">
        <v>23186</v>
      </c>
      <c r="AM567" s="7">
        <v>24821</v>
      </c>
      <c r="AN567" s="7">
        <v>25666</v>
      </c>
      <c r="AO567" s="7">
        <v>26222</v>
      </c>
      <c r="AP567" s="7">
        <v>26882</v>
      </c>
      <c r="AQ567" s="7">
        <v>28057</v>
      </c>
      <c r="AR567" s="7">
        <v>28944</v>
      </c>
      <c r="AS567" s="7">
        <v>36214</v>
      </c>
      <c r="AT567" s="7">
        <v>35634</v>
      </c>
      <c r="AU567" s="7">
        <v>36119</v>
      </c>
      <c r="AV567" s="7">
        <v>35996</v>
      </c>
      <c r="AW567" s="7">
        <v>36036</v>
      </c>
      <c r="AX567" s="7">
        <v>35976</v>
      </c>
    </row>
    <row r="568" spans="3:52" x14ac:dyDescent="0.2">
      <c r="C568" s="2" t="s">
        <v>268</v>
      </c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P568" s="62"/>
      <c r="R568" s="62"/>
      <c r="S568" s="62"/>
      <c r="T568" s="62"/>
      <c r="U568" s="62"/>
      <c r="V568" s="62"/>
      <c r="W568" s="62"/>
      <c r="X568" s="62">
        <f>-X135*X4/AVERAGE(T567:X567)</f>
        <v>2.4885357255452698</v>
      </c>
      <c r="Y568" s="62"/>
      <c r="Z568" s="62"/>
      <c r="AA568" s="62">
        <f>-AA135*AA4/AVERAGE(AA567,X567)</f>
        <v>2.4105200034267109</v>
      </c>
      <c r="AB568" s="62">
        <f>-AB135*AB4/AVERAGE(X567:AB567)</f>
        <v>2.5411694426574543</v>
      </c>
      <c r="AC568" s="62">
        <f>-AC135*AC4/AVERAGE(AB567:AC567)</f>
        <v>2.5509817071100001</v>
      </c>
      <c r="AD568" s="62">
        <f>-AD135*AD4/AVERAGE(AB567:AD567)</f>
        <v>2.6371720203800293</v>
      </c>
      <c r="AE568" s="62">
        <f>-AE135*AE4/AVERAGE(AB567:AE567)</f>
        <v>2.6070244511995644</v>
      </c>
      <c r="AF568" s="62">
        <f>-AF135*AF4/AVERAGE(AB567:AF567)</f>
        <v>2.6736679088105384</v>
      </c>
      <c r="AG568" s="62">
        <f>-AG135*AG4/AVERAGE(AF567:AG567)</f>
        <v>2.9170052234474753</v>
      </c>
      <c r="AH568" s="62">
        <f>-AH135*AH4/AVERAGE(AF567:AH567)</f>
        <v>3.0286121576214233</v>
      </c>
      <c r="AI568" s="62">
        <f>-AI135*AI4/AVERAGE(AF567:AI567)</f>
        <v>3.0785147774495263</v>
      </c>
      <c r="AJ568" s="62">
        <f t="shared" ref="AJ568:AT568" si="414">-AJ135*AJ4/AVERAGE(AF567:AJ567)</f>
        <v>3.0834047415024277</v>
      </c>
      <c r="AK568" s="62">
        <f t="shared" si="414"/>
        <v>3.514084570359914</v>
      </c>
      <c r="AL568" s="62">
        <f t="shared" si="414"/>
        <v>3.2814158080306712</v>
      </c>
      <c r="AM568" s="62">
        <f t="shared" si="414"/>
        <v>3.1966805168064472</v>
      </c>
      <c r="AN568" s="62">
        <f t="shared" si="414"/>
        <v>3.1547470512884495</v>
      </c>
      <c r="AO568" s="62">
        <f t="shared" si="414"/>
        <v>3.4441544503256334</v>
      </c>
      <c r="AP568" s="62">
        <f t="shared" si="414"/>
        <v>3.4410815841990265</v>
      </c>
      <c r="AQ568" s="62">
        <f t="shared" si="414"/>
        <v>3.3362704585966618</v>
      </c>
      <c r="AR568" s="62">
        <f t="shared" si="414"/>
        <v>3.4793880872940464</v>
      </c>
      <c r="AS568" s="62">
        <f t="shared" si="414"/>
        <v>3.6473732051203194</v>
      </c>
      <c r="AT568" s="62">
        <f t="shared" si="414"/>
        <v>3.7496709068843068</v>
      </c>
      <c r="AU568" s="62">
        <f>-AU135*AU4/AVERAGE(AR567:AU567)</f>
        <v>3.5981720485083981</v>
      </c>
      <c r="AV568" s="62">
        <f>-AV135*AV4/AVERAGE(AR567:AV567)</f>
        <v>3.8208690220754509</v>
      </c>
      <c r="AW568" s="62">
        <f>-AW135*AW4/AVERAGE(AV567:AW567)</f>
        <v>4.2823189693469565</v>
      </c>
      <c r="AX568" s="62">
        <f>-AX135*AX4/AVERAGE(AV567:AX567)</f>
        <v>4.256295829938523</v>
      </c>
      <c r="AZ568" s="70" t="s">
        <v>46</v>
      </c>
    </row>
    <row r="569" spans="3:52" x14ac:dyDescent="0.2">
      <c r="C569" s="2" t="s">
        <v>409</v>
      </c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P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  <c r="AB569" s="254">
        <f>-AB135*AB4/AVERAGE(X35:AB35)</f>
        <v>3.9008954815885524E-2</v>
      </c>
      <c r="AC569" s="62"/>
      <c r="AD569" s="254">
        <f>-AD135*AD4/AVERAGE(AB35:AD35)</f>
        <v>3.1429737203995591E-2</v>
      </c>
      <c r="AE569" s="254">
        <f>-AE135*AE4/AVERAGE(AB35:AE35)</f>
        <v>3.0040709930322242E-2</v>
      </c>
      <c r="AF569" s="254">
        <f>-AF135*AF4/AVERAGE(AB35:AF35)</f>
        <v>3.0737137148430731E-2</v>
      </c>
      <c r="AG569" s="255"/>
      <c r="AH569" s="254">
        <f>-AH135*AH4/AVERAGE(AF35:AH35)</f>
        <v>3.6072294972023675E-2</v>
      </c>
      <c r="AI569" s="254">
        <f>-AI135*AI4/AVERAGE(AF35:AI35)</f>
        <v>3.6604610995113529E-2</v>
      </c>
      <c r="AJ569" s="254">
        <f t="shared" ref="AJ569:AR569" si="415">-AJ135*AJ4/AVERAGE(AF35:AJ35)</f>
        <v>3.6094299240632115E-2</v>
      </c>
      <c r="AK569" s="254">
        <f t="shared" si="415"/>
        <v>4.154623336580085E-2</v>
      </c>
      <c r="AL569" s="254">
        <f t="shared" si="415"/>
        <v>3.9732981597383164E-2</v>
      </c>
      <c r="AM569" s="254">
        <f t="shared" si="415"/>
        <v>3.8356749644080264E-2</v>
      </c>
      <c r="AN569" s="254">
        <f t="shared" si="415"/>
        <v>3.7775113822343123E-2</v>
      </c>
      <c r="AO569" s="254">
        <f t="shared" si="415"/>
        <v>4.1528088565805504E-2</v>
      </c>
      <c r="AP569" s="254">
        <f t="shared" si="415"/>
        <v>4.0945309643214065E-2</v>
      </c>
      <c r="AQ569" s="254">
        <f t="shared" si="415"/>
        <v>3.7889139788508185E-2</v>
      </c>
      <c r="AR569" s="254">
        <f t="shared" si="415"/>
        <v>3.6879806026584999E-2</v>
      </c>
      <c r="AS569" s="254">
        <f>-AS135*AS4/AVERAGE(AR35:AS35)</f>
        <v>3.1374582431838778E-2</v>
      </c>
      <c r="AT569" s="254">
        <f>-AT135*AT4/AVERAGE(AR35:AT35)</f>
        <v>3.3056697211715086E-2</v>
      </c>
      <c r="AU569" s="254">
        <f>-AU135*AU4/AVERAGE(AR35:AU35)</f>
        <v>3.4176974245050777E-2</v>
      </c>
      <c r="AV569" s="254">
        <f>-AV135*AV4/AVERAGE(AR35:AV35)</f>
        <v>3.578780626876929E-2</v>
      </c>
      <c r="AW569" s="254">
        <f>-AW135*AW4/AVERAGE(AV35:AW35)</f>
        <v>3.8938708621531287E-2</v>
      </c>
      <c r="AX569" s="254">
        <f>-AX135*AX4/AVERAGE(AV35:AX35)</f>
        <v>3.8826982791057313E-2</v>
      </c>
      <c r="AZ569" s="70"/>
    </row>
    <row r="570" spans="3:52" x14ac:dyDescent="0.2">
      <c r="C570" s="2" t="s">
        <v>475</v>
      </c>
      <c r="S570" s="9"/>
      <c r="X570" s="62">
        <f>X130*X4/X567</f>
        <v>4.1034394904458598</v>
      </c>
      <c r="AB570" s="62">
        <f>AB130*AB4/AB567</f>
        <v>5.699038615616697</v>
      </c>
      <c r="AF570" s="62">
        <f>AF130*AF4/AF567</f>
        <v>6.7432712215320914</v>
      </c>
      <c r="AJ570" s="62">
        <f>AJ130*AJ4/AJ567</f>
        <v>6.6212851234383665</v>
      </c>
      <c r="AN570" s="62">
        <f>AN130*AN4/AN567</f>
        <v>3.6294319332969689</v>
      </c>
      <c r="AQ570" s="62">
        <f>AQ130*AQ4/AVERAGE(AN567:AQ567)</f>
        <v>8.7767574364782934</v>
      </c>
      <c r="AR570" s="62">
        <f>AR130*AR4/AR567</f>
        <v>7.6259673852957439</v>
      </c>
      <c r="AS570" s="62">
        <f>AS130*AS4/AVERAGE(AR567:AS567)</f>
        <v>8.1743454372448507</v>
      </c>
      <c r="AT570" s="62">
        <f>AT130*AT4/AVERAGE(AR567:AT567)</f>
        <v>7.2809349948408597</v>
      </c>
      <c r="AU570" s="62">
        <f>AU130*AU4/AVERAGE(AR567:AU567)</f>
        <v>6.9592655082498851</v>
      </c>
      <c r="AV570" s="62">
        <f>AV130*AV4/AVERAGE(AR567:AV567)</f>
        <v>7.1032404703106291</v>
      </c>
      <c r="AW570" s="62">
        <f>AW130*AW4/AVERAGE(AV567:AW567)</f>
        <v>5.9049311417147932</v>
      </c>
      <c r="AX570" s="62">
        <f>AX130*AX4/AVERAGE(AV567:AX567)</f>
        <v>6.2413154581142143</v>
      </c>
    </row>
  </sheetData>
  <pageMargins left="0.5" right="0.5" top="0.5" bottom="0.5" header="0.5" footer="0.5"/>
  <pageSetup orientation="landscape" horizontalDpi="3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BF48"/>
  <sheetViews>
    <sheetView zoomScale="80" zoomScaleNormal="80" workbookViewId="0">
      <pane xSplit="2" ySplit="3" topLeftCell="X4" activePane="bottomRight" state="frozen"/>
      <selection pane="topRight" activeCell="C1" sqref="C1"/>
      <selection pane="bottomLeft" activeCell="A4" sqref="A4"/>
      <selection pane="bottomRight" activeCell="AO6" sqref="AO6"/>
    </sheetView>
  </sheetViews>
  <sheetFormatPr defaultColWidth="8.83203125" defaultRowHeight="11.25" outlineLevelRow="1" outlineLevelCol="1" x14ac:dyDescent="0.2"/>
  <cols>
    <col min="1" max="1" width="2.6640625" style="167" customWidth="1"/>
    <col min="2" max="2" width="40" style="167" bestFit="1" customWidth="1"/>
    <col min="3" max="27" width="10.6640625" style="167" hidden="1" customWidth="1" outlineLevel="1"/>
    <col min="28" max="28" width="10.6640625" style="167" customWidth="1" collapsed="1"/>
    <col min="29" max="33" width="10.6640625" style="167" customWidth="1"/>
    <col min="34" max="34" width="8" style="167" customWidth="1"/>
    <col min="35" max="35" width="8.83203125" style="167" hidden="1" customWidth="1" outlineLevel="1"/>
    <col min="36" max="38" width="10" style="167" hidden="1" customWidth="1" outlineLevel="1"/>
    <col min="39" max="39" width="10" style="167" customWidth="1" collapsed="1"/>
    <col min="40" max="41" width="10" style="167" customWidth="1"/>
    <col min="42" max="42" width="8.83203125" style="167"/>
    <col min="43" max="45" width="10" style="167" hidden="1" customWidth="1" outlineLevel="1"/>
    <col min="46" max="46" width="10" style="167" hidden="1" customWidth="1" outlineLevel="1" collapsed="1"/>
    <col min="47" max="47" width="10" style="167" customWidth="1" collapsed="1"/>
    <col min="48" max="48" width="10" style="167" customWidth="1"/>
    <col min="49" max="49" width="8.83203125" style="167"/>
    <col min="50" max="51" width="8.83203125" style="167" hidden="1" customWidth="1" outlineLevel="1"/>
    <col min="52" max="52" width="8.83203125" style="167" hidden="1" customWidth="1" outlineLevel="1" collapsed="1"/>
    <col min="53" max="54" width="8.83203125" style="167" hidden="1" customWidth="1" outlineLevel="1"/>
    <col min="55" max="55" width="8.83203125" style="167" collapsed="1"/>
    <col min="56" max="16384" width="8.83203125" style="167"/>
  </cols>
  <sheetData>
    <row r="1" spans="2:58" x14ac:dyDescent="0.2"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I1" s="166"/>
      <c r="AJ1" s="166"/>
      <c r="AK1" s="166"/>
      <c r="AL1" s="166"/>
      <c r="AM1" s="166"/>
      <c r="AN1" s="166"/>
      <c r="AO1" s="166"/>
      <c r="AQ1" s="166"/>
      <c r="AR1" s="166"/>
      <c r="AS1" s="166"/>
      <c r="AT1" s="166"/>
      <c r="AU1" s="166"/>
      <c r="AV1" s="166"/>
      <c r="AX1" s="166"/>
      <c r="AY1" s="166"/>
      <c r="AZ1" s="166"/>
      <c r="BA1" s="166"/>
      <c r="BB1" s="166"/>
      <c r="BC1" s="166"/>
      <c r="BD1" s="166"/>
    </row>
    <row r="2" spans="2:58" x14ac:dyDescent="0.2">
      <c r="B2" s="168"/>
      <c r="C2" s="169" t="s">
        <v>1</v>
      </c>
      <c r="D2" s="170" t="s">
        <v>1</v>
      </c>
      <c r="E2" s="170" t="s">
        <v>1</v>
      </c>
      <c r="F2" s="170" t="s">
        <v>1</v>
      </c>
      <c r="G2" s="169" t="s">
        <v>1</v>
      </c>
      <c r="H2" s="170" t="s">
        <v>1</v>
      </c>
      <c r="I2" s="170" t="s">
        <v>1</v>
      </c>
      <c r="J2" s="170" t="s">
        <v>1</v>
      </c>
      <c r="K2" s="169" t="s">
        <v>1</v>
      </c>
      <c r="L2" s="170" t="s">
        <v>1</v>
      </c>
      <c r="M2" s="170" t="s">
        <v>1</v>
      </c>
      <c r="N2" s="170" t="s">
        <v>1</v>
      </c>
      <c r="O2" s="169" t="s">
        <v>1</v>
      </c>
      <c r="P2" s="170" t="s">
        <v>1</v>
      </c>
      <c r="Q2" s="170" t="s">
        <v>1</v>
      </c>
      <c r="R2" s="170" t="s">
        <v>1</v>
      </c>
      <c r="S2" s="170" t="s">
        <v>1</v>
      </c>
      <c r="T2" s="170" t="s">
        <v>1</v>
      </c>
      <c r="U2" s="170" t="s">
        <v>1</v>
      </c>
      <c r="V2" s="170" t="s">
        <v>1</v>
      </c>
      <c r="W2" s="170" t="s">
        <v>1</v>
      </c>
      <c r="X2" s="170" t="s">
        <v>1</v>
      </c>
      <c r="Y2" s="170" t="s">
        <v>1</v>
      </c>
      <c r="Z2" s="170" t="s">
        <v>1</v>
      </c>
      <c r="AA2" s="170" t="s">
        <v>1</v>
      </c>
      <c r="AB2" s="170" t="s">
        <v>1</v>
      </c>
      <c r="AC2" s="170" t="s">
        <v>1</v>
      </c>
      <c r="AD2" s="170" t="s">
        <v>1</v>
      </c>
      <c r="AE2" s="170" t="s">
        <v>1</v>
      </c>
      <c r="AF2" s="170" t="s">
        <v>1</v>
      </c>
      <c r="AG2" s="170" t="s">
        <v>1</v>
      </c>
      <c r="AI2" s="169" t="s">
        <v>1</v>
      </c>
      <c r="AJ2" s="169" t="s">
        <v>1</v>
      </c>
      <c r="AK2" s="169" t="s">
        <v>1</v>
      </c>
      <c r="AL2" s="169" t="s">
        <v>1</v>
      </c>
      <c r="AM2" s="169" t="s">
        <v>1</v>
      </c>
      <c r="AN2" s="169" t="s">
        <v>1</v>
      </c>
      <c r="AO2" s="169" t="s">
        <v>1</v>
      </c>
      <c r="AQ2" s="170" t="s">
        <v>1</v>
      </c>
      <c r="AR2" s="170" t="s">
        <v>1</v>
      </c>
      <c r="AS2" s="170" t="s">
        <v>1</v>
      </c>
      <c r="AT2" s="170" t="s">
        <v>1</v>
      </c>
      <c r="AU2" s="170" t="s">
        <v>1</v>
      </c>
      <c r="AV2" s="170" t="s">
        <v>1</v>
      </c>
      <c r="AX2" s="169" t="s">
        <v>1</v>
      </c>
      <c r="AY2" s="169" t="s">
        <v>1</v>
      </c>
      <c r="AZ2" s="169" t="s">
        <v>1</v>
      </c>
      <c r="BA2" s="169" t="s">
        <v>1</v>
      </c>
      <c r="BB2" s="169" t="s">
        <v>1</v>
      </c>
      <c r="BC2" s="169" t="s">
        <v>1</v>
      </c>
      <c r="BD2" s="169" t="s">
        <v>1</v>
      </c>
    </row>
    <row r="3" spans="2:58" x14ac:dyDescent="0.2">
      <c r="B3" s="171"/>
      <c r="C3" s="172" t="s">
        <v>446</v>
      </c>
      <c r="D3" s="171" t="s">
        <v>214</v>
      </c>
      <c r="E3" s="171" t="s">
        <v>213</v>
      </c>
      <c r="F3" s="171" t="s">
        <v>447</v>
      </c>
      <c r="G3" s="172" t="s">
        <v>216</v>
      </c>
      <c r="H3" s="171" t="s">
        <v>212</v>
      </c>
      <c r="I3" s="171" t="s">
        <v>312</v>
      </c>
      <c r="J3" s="171" t="s">
        <v>313</v>
      </c>
      <c r="K3" s="172" t="s">
        <v>314</v>
      </c>
      <c r="L3" s="171" t="s">
        <v>315</v>
      </c>
      <c r="M3" s="171" t="s">
        <v>346</v>
      </c>
      <c r="N3" s="171" t="s">
        <v>359</v>
      </c>
      <c r="O3" s="172" t="s">
        <v>369</v>
      </c>
      <c r="P3" s="171" t="s">
        <v>393</v>
      </c>
      <c r="Q3" s="171" t="s">
        <v>406</v>
      </c>
      <c r="R3" s="171" t="s">
        <v>412</v>
      </c>
      <c r="S3" s="171" t="s">
        <v>416</v>
      </c>
      <c r="T3" s="171" t="s">
        <v>419</v>
      </c>
      <c r="U3" s="171" t="s">
        <v>422</v>
      </c>
      <c r="V3" s="171" t="s">
        <v>428</v>
      </c>
      <c r="W3" s="171" t="s">
        <v>430</v>
      </c>
      <c r="X3" s="171" t="s">
        <v>433</v>
      </c>
      <c r="Y3" s="171" t="s">
        <v>436</v>
      </c>
      <c r="Z3" s="171" t="s">
        <v>457</v>
      </c>
      <c r="AA3" s="171" t="s">
        <v>459</v>
      </c>
      <c r="AB3" s="171" t="s">
        <v>464</v>
      </c>
      <c r="AC3" s="171" t="s">
        <v>470</v>
      </c>
      <c r="AD3" s="171" t="s">
        <v>474</v>
      </c>
      <c r="AE3" s="171" t="s">
        <v>480</v>
      </c>
      <c r="AF3" s="171" t="s">
        <v>489</v>
      </c>
      <c r="AG3" s="171" t="s">
        <v>507</v>
      </c>
      <c r="AH3" s="178"/>
      <c r="AI3" s="172" t="s">
        <v>316</v>
      </c>
      <c r="AJ3" s="172" t="s">
        <v>318</v>
      </c>
      <c r="AK3" s="172" t="s">
        <v>405</v>
      </c>
      <c r="AL3" s="172" t="s">
        <v>423</v>
      </c>
      <c r="AM3" s="172" t="s">
        <v>437</v>
      </c>
      <c r="AN3" s="172" t="s">
        <v>469</v>
      </c>
      <c r="AO3" s="172" t="s">
        <v>508</v>
      </c>
      <c r="AQ3" s="171" t="s">
        <v>317</v>
      </c>
      <c r="AR3" s="171" t="s">
        <v>358</v>
      </c>
      <c r="AS3" s="171" t="s">
        <v>413</v>
      </c>
      <c r="AT3" s="171" t="s">
        <v>429</v>
      </c>
      <c r="AU3" s="171" t="s">
        <v>456</v>
      </c>
      <c r="AV3" s="171" t="s">
        <v>473</v>
      </c>
      <c r="AX3" s="172">
        <v>2018</v>
      </c>
      <c r="AY3" s="172">
        <v>2019</v>
      </c>
      <c r="AZ3" s="172">
        <v>2020</v>
      </c>
      <c r="BA3" s="172">
        <v>2021</v>
      </c>
      <c r="BB3" s="172">
        <v>2022</v>
      </c>
      <c r="BC3" s="172">
        <v>2023</v>
      </c>
      <c r="BD3" s="172">
        <v>2024</v>
      </c>
    </row>
    <row r="4" spans="2:58" x14ac:dyDescent="0.2">
      <c r="B4" s="173" t="s">
        <v>17</v>
      </c>
      <c r="C4" s="174">
        <v>4</v>
      </c>
      <c r="D4" s="174">
        <v>4</v>
      </c>
      <c r="E4" s="174">
        <v>4</v>
      </c>
      <c r="F4" s="174">
        <v>4</v>
      </c>
      <c r="G4" s="174">
        <v>4</v>
      </c>
      <c r="H4" s="174">
        <v>4</v>
      </c>
      <c r="I4" s="174">
        <v>4</v>
      </c>
      <c r="J4" s="174">
        <v>4</v>
      </c>
      <c r="K4" s="174">
        <v>4</v>
      </c>
      <c r="L4" s="174">
        <v>4</v>
      </c>
      <c r="M4" s="174">
        <v>4</v>
      </c>
      <c r="N4" s="174">
        <v>4</v>
      </c>
      <c r="O4" s="174">
        <v>4</v>
      </c>
      <c r="P4" s="174">
        <v>4</v>
      </c>
      <c r="Q4" s="174">
        <v>4</v>
      </c>
      <c r="R4" s="174">
        <v>4</v>
      </c>
      <c r="S4" s="174">
        <v>4</v>
      </c>
      <c r="T4" s="174">
        <v>4</v>
      </c>
      <c r="U4" s="174">
        <v>4</v>
      </c>
      <c r="V4" s="174">
        <v>4</v>
      </c>
      <c r="W4" s="174">
        <v>4</v>
      </c>
      <c r="X4" s="174">
        <v>4</v>
      </c>
      <c r="Y4" s="174">
        <v>4</v>
      </c>
      <c r="Z4" s="174">
        <v>4</v>
      </c>
      <c r="AA4" s="174">
        <v>4</v>
      </c>
      <c r="AB4" s="174">
        <v>4</v>
      </c>
      <c r="AC4" s="174">
        <v>4</v>
      </c>
      <c r="AD4" s="174">
        <v>4</v>
      </c>
      <c r="AE4" s="174">
        <v>4</v>
      </c>
      <c r="AF4" s="174">
        <v>4</v>
      </c>
      <c r="AG4" s="174">
        <v>4</v>
      </c>
      <c r="AH4" s="58"/>
      <c r="AI4" s="174">
        <v>2</v>
      </c>
      <c r="AJ4" s="174">
        <v>2</v>
      </c>
      <c r="AK4" s="174">
        <v>2</v>
      </c>
      <c r="AL4" s="174">
        <v>2</v>
      </c>
      <c r="AM4" s="174">
        <v>2</v>
      </c>
      <c r="AN4" s="174">
        <v>2</v>
      </c>
      <c r="AO4" s="174">
        <v>2</v>
      </c>
      <c r="AQ4" s="174">
        <f t="shared" ref="AQ4:AV4" si="0">4/3</f>
        <v>1.3333333333333333</v>
      </c>
      <c r="AR4" s="174">
        <f t="shared" si="0"/>
        <v>1.3333333333333333</v>
      </c>
      <c r="AS4" s="174">
        <f t="shared" si="0"/>
        <v>1.3333333333333333</v>
      </c>
      <c r="AT4" s="174">
        <f t="shared" si="0"/>
        <v>1.3333333333333333</v>
      </c>
      <c r="AU4" s="174">
        <f t="shared" si="0"/>
        <v>1.3333333333333333</v>
      </c>
      <c r="AV4" s="174">
        <f t="shared" si="0"/>
        <v>1.3333333333333333</v>
      </c>
      <c r="AX4" s="174">
        <v>1</v>
      </c>
      <c r="AY4" s="174">
        <v>1</v>
      </c>
      <c r="AZ4" s="174">
        <v>1</v>
      </c>
      <c r="BA4" s="174">
        <v>1</v>
      </c>
      <c r="BB4" s="174">
        <v>1</v>
      </c>
      <c r="BC4" s="174">
        <v>1</v>
      </c>
      <c r="BD4" s="174">
        <v>1</v>
      </c>
    </row>
    <row r="5" spans="2:58" x14ac:dyDescent="0.2"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</row>
    <row r="6" spans="2:58" x14ac:dyDescent="0.2">
      <c r="B6" s="176" t="s">
        <v>290</v>
      </c>
      <c r="C6" s="177"/>
      <c r="D6" s="177"/>
      <c r="E6" s="177"/>
      <c r="F6" s="177"/>
      <c r="G6" s="177"/>
      <c r="H6" s="177">
        <f t="shared" ref="H6:Q6" si="1">H12*H4/AVERAGE(G18:H18)</f>
        <v>6.4609591819373258E-2</v>
      </c>
      <c r="I6" s="177">
        <f t="shared" si="1"/>
        <v>6.5387352531398157E-2</v>
      </c>
      <c r="J6" s="177">
        <f t="shared" si="1"/>
        <v>7.0245593571394233E-2</v>
      </c>
      <c r="K6" s="177">
        <f t="shared" si="1"/>
        <v>6.6212735146274557E-2</v>
      </c>
      <c r="L6" s="177">
        <f t="shared" si="1"/>
        <v>6.8066393003747991E-2</v>
      </c>
      <c r="M6" s="177">
        <f t="shared" si="1"/>
        <v>6.2655847914416044E-2</v>
      </c>
      <c r="N6" s="177">
        <f t="shared" si="1"/>
        <v>6.4164759455789533E-2</v>
      </c>
      <c r="O6" s="177">
        <f t="shared" si="1"/>
        <v>6.2886130540599675E-2</v>
      </c>
      <c r="P6" s="177">
        <f t="shared" si="1"/>
        <v>6.5512538254305086E-2</v>
      </c>
      <c r="Q6" s="177">
        <f t="shared" si="1"/>
        <v>8.0541796193292478E-2</v>
      </c>
      <c r="R6" s="177">
        <f t="shared" ref="R6:X6" si="2">R12*R4/AVERAGE(Q18:R18)</f>
        <v>7.7876817365726644E-2</v>
      </c>
      <c r="S6" s="177">
        <f t="shared" si="2"/>
        <v>7.9554817558853866E-2</v>
      </c>
      <c r="T6" s="177">
        <f t="shared" si="2"/>
        <v>6.5281143324162766E-2</v>
      </c>
      <c r="U6" s="177">
        <f t="shared" si="2"/>
        <v>3.1175262339231905E-2</v>
      </c>
      <c r="V6" s="177">
        <f t="shared" si="2"/>
        <v>6.7696135001487245E-2</v>
      </c>
      <c r="W6" s="177">
        <f t="shared" si="2"/>
        <v>7.1530081292962067E-2</v>
      </c>
      <c r="X6" s="177">
        <f t="shared" si="2"/>
        <v>6.4439774651642093E-2</v>
      </c>
      <c r="Y6" s="177">
        <f t="shared" ref="Y6:AC6" si="3">Y12*Y4/AVERAGE(X18:Y18)</f>
        <v>6.8335847287265564E-2</v>
      </c>
      <c r="Z6" s="177">
        <f t="shared" si="3"/>
        <v>6.8291604115354967E-2</v>
      </c>
      <c r="AA6" s="177">
        <f t="shared" si="3"/>
        <v>5.9127189537660309E-2</v>
      </c>
      <c r="AB6" s="177">
        <f t="shared" si="3"/>
        <v>5.3694873377229557E-2</v>
      </c>
      <c r="AC6" s="177">
        <f t="shared" si="3"/>
        <v>5.8894332749579191E-2</v>
      </c>
      <c r="AD6" s="177">
        <f>AD12*AD4/AVERAGE(AC18:AD18)</f>
        <v>5.3364184265723813E-2</v>
      </c>
      <c r="AE6" s="177">
        <f>AE12*AE4/AVERAGE(AD18:AE18)</f>
        <v>5.0611694554105392E-2</v>
      </c>
      <c r="AF6" s="177">
        <f>AF12*AF4/AVERAGE(AE18:AF18)</f>
        <v>4.2938198341480091E-2</v>
      </c>
      <c r="AG6" s="177">
        <f>AG12*AG4/AVERAGE(AF18:AG18)</f>
        <v>4.7342865454585902E-2</v>
      </c>
      <c r="AH6" s="181"/>
      <c r="AI6" s="177">
        <f>AI12*AI4/AVERAGE(G18:I18)</f>
        <v>6.5062984044042177E-2</v>
      </c>
      <c r="AJ6" s="177">
        <f>AJ12*AJ4/AVERAGE(K18:M18)</f>
        <v>6.4743878405654237E-2</v>
      </c>
      <c r="AK6" s="177">
        <f>AK12*AK4/AVERAGE(O18:Q18)</f>
        <v>7.2990173530074712E-2</v>
      </c>
      <c r="AL6" s="177">
        <f>AL12*AL4/AVERAGE(S18:U18)</f>
        <v>4.8436799892129317E-2</v>
      </c>
      <c r="AM6" s="177">
        <f>AM12*AM4/AVERAGE(W18:Y18)</f>
        <v>6.6596513675349092E-2</v>
      </c>
      <c r="AN6" s="177">
        <f>AN12*AN4/AVERAGE(AA18:AC18)</f>
        <v>5.6823082394635349E-2</v>
      </c>
      <c r="AO6" s="177">
        <f>AO12*AO4/AVERAGE(AE18:AG18)</f>
        <v>4.4955572951231745E-2</v>
      </c>
      <c r="AP6" s="181"/>
      <c r="AQ6" s="177">
        <f>AQ12*AQ4/AVERAGE(G18:J18)</f>
        <v>6.652519102881907E-2</v>
      </c>
      <c r="AR6" s="177">
        <f>AR12*AR4/AVERAGE(K18:N18)</f>
        <v>6.5213893824397212E-2</v>
      </c>
      <c r="AS6" s="177">
        <f>AS12*AS4/AVERAGE(O18:R18)</f>
        <v>7.5241011253758525E-2</v>
      </c>
      <c r="AT6" s="177">
        <f>AT12*AT4/AVERAGE(S18:V18)</f>
        <v>5.4473465825901797E-2</v>
      </c>
      <c r="AU6" s="177">
        <f>AU12*AU4/AVERAGE(W18:Z18)</f>
        <v>6.6761422044528757E-2</v>
      </c>
      <c r="AV6" s="177">
        <f>AV12*AV4/AVERAGE(AA18:AD18)</f>
        <v>5.5733332104435949E-2</v>
      </c>
      <c r="AW6" s="181"/>
      <c r="AX6" s="177">
        <f>AX12*AX4/AVERAGE(C18:G18)</f>
        <v>6.8214954619146215E-2</v>
      </c>
      <c r="AY6" s="177">
        <f>AY12*AY4/AVERAGE(G18:K18)</f>
        <v>6.5454329351637253E-2</v>
      </c>
      <c r="AZ6" s="177">
        <f>AZ12*AZ4/AVERAGE(K18:O18)</f>
        <v>6.5420991275725732E-2</v>
      </c>
      <c r="BA6" s="177">
        <f>BA12*BA4/AVERAGE(O18:S18)</f>
        <v>7.6593420644101753E-2</v>
      </c>
      <c r="BB6" s="177">
        <f>BB12*BB4/AVERAGE(S18:W18)</f>
        <v>5.8831181097002701E-2</v>
      </c>
      <c r="BC6" s="177">
        <f>BC12*BC4/AVERAGE(W18:AA18)</f>
        <v>6.4503865763284901E-2</v>
      </c>
      <c r="BD6" s="177">
        <f>BD12*BD4/AVERAGE(AA18:AE18)</f>
        <v>5.4205632219684302E-2</v>
      </c>
      <c r="BE6" s="289"/>
      <c r="BF6" s="175"/>
    </row>
    <row r="7" spans="2:58" x14ac:dyDescent="0.2">
      <c r="B7" s="181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</row>
    <row r="8" spans="2:58" x14ac:dyDescent="0.2">
      <c r="B8" s="181" t="s">
        <v>319</v>
      </c>
      <c r="C8" s="183"/>
      <c r="D8" s="183"/>
      <c r="E8" s="183"/>
      <c r="F8" s="183"/>
      <c r="G8" s="183"/>
      <c r="H8" s="183">
        <f t="shared" ref="H8:R8" si="4">H14*H4/AVERAGE(G28:H28)</f>
        <v>0.12128366281008063</v>
      </c>
      <c r="I8" s="183">
        <f t="shared" si="4"/>
        <v>0.11575777088199768</v>
      </c>
      <c r="J8" s="183">
        <f t="shared" si="4"/>
        <v>0.12184956991742071</v>
      </c>
      <c r="K8" s="183">
        <f t="shared" si="4"/>
        <v>0.13292031310967597</v>
      </c>
      <c r="L8" s="183">
        <f t="shared" si="4"/>
        <v>0.1482172850889043</v>
      </c>
      <c r="M8" s="183">
        <f t="shared" si="4"/>
        <v>0.16098279510396962</v>
      </c>
      <c r="N8" s="183">
        <f t="shared" si="4"/>
        <v>0.1831750093327196</v>
      </c>
      <c r="O8" s="183">
        <f t="shared" si="4"/>
        <v>0.15869663082903551</v>
      </c>
      <c r="P8" s="183">
        <f t="shared" si="4"/>
        <v>0.17920508516246891</v>
      </c>
      <c r="Q8" s="183">
        <f t="shared" si="4"/>
        <v>0.20907928989003943</v>
      </c>
      <c r="R8" s="183">
        <f t="shared" si="4"/>
        <v>0.16367977273414125</v>
      </c>
      <c r="S8" s="183">
        <f t="shared" ref="S8:W8" si="5">S14*S4/AVERAGE(R28:S28)</f>
        <v>0.16568978371275933</v>
      </c>
      <c r="T8" s="183">
        <f t="shared" si="5"/>
        <v>0.11158766386797858</v>
      </c>
      <c r="U8" s="183">
        <f t="shared" si="5"/>
        <v>7.1815330913873404E-2</v>
      </c>
      <c r="V8" s="183">
        <f t="shared" si="5"/>
        <v>0.10145910941083104</v>
      </c>
      <c r="W8" s="183">
        <f t="shared" si="5"/>
        <v>0.19430755375318565</v>
      </c>
      <c r="X8" s="183">
        <f t="shared" ref="X8:AG8" si="6">X14*X4/AVERAGE(W28:X28)</f>
        <v>0.14135240931335008</v>
      </c>
      <c r="Y8" s="183">
        <f t="shared" si="6"/>
        <v>0.12512349249624949</v>
      </c>
      <c r="Z8" s="183">
        <f t="shared" si="6"/>
        <v>0.141504985370565</v>
      </c>
      <c r="AA8" s="183">
        <f t="shared" si="6"/>
        <v>5.7794887475857815E-2</v>
      </c>
      <c r="AB8" s="183">
        <f t="shared" si="6"/>
        <v>8.583895348333867E-2</v>
      </c>
      <c r="AC8" s="183">
        <f t="shared" si="6"/>
        <v>9.786215319931485E-2</v>
      </c>
      <c r="AD8" s="183">
        <f t="shared" si="6"/>
        <v>7.3390719140550634E-2</v>
      </c>
      <c r="AE8" s="183">
        <f t="shared" si="6"/>
        <v>7.8659391599192399E-2</v>
      </c>
      <c r="AF8" s="183">
        <f t="shared" si="6"/>
        <v>8.0623594705360194E-2</v>
      </c>
      <c r="AG8" s="183">
        <f t="shared" si="6"/>
        <v>6.9670344037314605E-2</v>
      </c>
      <c r="AH8" s="129"/>
      <c r="AI8" s="183">
        <f>AI14*AI4/AVERAGE(G28:I28)</f>
        <v>0.11919802164660022</v>
      </c>
      <c r="AJ8" s="183">
        <f>AJ14*AJ4/AVERAGE(K28:M28)</f>
        <v>0.15528212870352898</v>
      </c>
      <c r="AK8" s="183">
        <f>AK14*AK4/AVERAGE(O28:Q28)</f>
        <v>0.19113809912120744</v>
      </c>
      <c r="AL8" s="183">
        <f>AL14*AL4/AVERAGE(S28:U28)</f>
        <v>9.1373303359676167E-2</v>
      </c>
      <c r="AM8" s="183">
        <f>AM14*AM4/AVERAGE(W28:Y28)</f>
        <v>0.13231119351219886</v>
      </c>
      <c r="AN8" s="183">
        <f>AN14*AN4/AVERAGE(AA28:AC28)</f>
        <v>9.3794429378991587E-2</v>
      </c>
      <c r="AO8" s="183">
        <f>AO14*AO4/AVERAGE(AE28:AG28)</f>
        <v>7.5185923267454977E-2</v>
      </c>
      <c r="AP8" s="181"/>
      <c r="AQ8" s="183">
        <f>AQ14*AQ4/AVERAGE(G28:J28)</f>
        <v>0.119885986992591</v>
      </c>
      <c r="AR8" s="183">
        <f>AR14*AR4/AVERAGE(K28:N28)</f>
        <v>0.16381355145705126</v>
      </c>
      <c r="AS8" s="183">
        <f>AS14*AS4/AVERAGE(O28:R28)</f>
        <v>0.18227510454931581</v>
      </c>
      <c r="AT8" s="183">
        <f>AT14*AT4/AVERAGE(S28:V28)</f>
        <v>9.4554618700528809E-2</v>
      </c>
      <c r="AU8" s="183">
        <f>AU14*AU4/AVERAGE(W28:Z28)</f>
        <v>0.13545397651330948</v>
      </c>
      <c r="AV8" s="183">
        <f>AV14*AV4/AVERAGE(AA28:AD28)</f>
        <v>8.6507912966458989E-2</v>
      </c>
      <c r="AW8" s="181"/>
      <c r="AX8" s="183">
        <f>AX14*AX4/AVERAGE(C28:G28)</f>
        <v>0.14402584480831357</v>
      </c>
      <c r="AY8" s="183">
        <f>AY14*AY4/AVERAGE(G28:K28)</f>
        <v>0.12347022461919839</v>
      </c>
      <c r="AZ8" s="183">
        <f>AZ14*AZ4/AVERAGE(K28:O28)</f>
        <v>0.16241147043019916</v>
      </c>
      <c r="BA8" s="183">
        <f>BA14*BA4/AVERAGE(O28:S28)</f>
        <v>0.17778515684911006</v>
      </c>
      <c r="BB8" s="183">
        <f>BB14*BB4/AVERAGE(S28:W28)</f>
        <v>0.12109834527862855</v>
      </c>
      <c r="BC8" s="183">
        <f>BC14*BC4/AVERAGE(W28:AA28)</f>
        <v>0.11351520087181556</v>
      </c>
      <c r="BD8" s="183">
        <f>BD14*BD4/AVERAGE(AA28:AE28)</f>
        <v>8.4529335552694346E-2</v>
      </c>
    </row>
    <row r="9" spans="2:58" x14ac:dyDescent="0.2">
      <c r="B9" s="181" t="s">
        <v>320</v>
      </c>
      <c r="C9" s="183"/>
      <c r="D9" s="183"/>
      <c r="E9" s="183"/>
      <c r="F9" s="183"/>
      <c r="G9" s="183"/>
      <c r="H9" s="183">
        <f t="shared" ref="H9:R9" si="7">H15*H4/AVERAGE(G29:H29)</f>
        <v>5.3071738256835414E-2</v>
      </c>
      <c r="I9" s="183">
        <f t="shared" si="7"/>
        <v>5.7970747903386681E-2</v>
      </c>
      <c r="J9" s="183">
        <f t="shared" si="7"/>
        <v>8.4707455629175893E-2</v>
      </c>
      <c r="K9" s="183">
        <f t="shared" si="7"/>
        <v>4.7948214316833132E-2</v>
      </c>
      <c r="L9" s="183">
        <f t="shared" si="7"/>
        <v>5.3021365342020538E-2</v>
      </c>
      <c r="M9" s="183">
        <f t="shared" si="7"/>
        <v>5.1371065385233769E-2</v>
      </c>
      <c r="N9" s="183">
        <f t="shared" si="7"/>
        <v>4.8461591716034855E-2</v>
      </c>
      <c r="O9" s="183">
        <f t="shared" si="7"/>
        <v>6.5760816958668089E-2</v>
      </c>
      <c r="P9" s="183">
        <f t="shared" si="7"/>
        <v>5.489736070381232E-2</v>
      </c>
      <c r="Q9" s="183">
        <f t="shared" si="7"/>
        <v>5.0737480524714565E-2</v>
      </c>
      <c r="R9" s="183">
        <f t="shared" si="7"/>
        <v>5.0199421896761472E-2</v>
      </c>
      <c r="S9" s="183">
        <f t="shared" ref="S9:X9" si="8">S15*S4/AVERAGE(R29:S29)</f>
        <v>3.6703611159278914E-2</v>
      </c>
      <c r="T9" s="183">
        <f t="shared" si="8"/>
        <v>8.9702425363211852E-2</v>
      </c>
      <c r="U9" s="183">
        <f t="shared" si="8"/>
        <v>3.2656568911805781E-2</v>
      </c>
      <c r="V9" s="183">
        <f t="shared" si="8"/>
        <v>0.11500435753738536</v>
      </c>
      <c r="W9" s="183">
        <f t="shared" si="8"/>
        <v>4.4687533958075683E-2</v>
      </c>
      <c r="X9" s="183">
        <f t="shared" si="8"/>
        <v>6.4287084431863498E-2</v>
      </c>
      <c r="Y9" s="183">
        <f t="shared" ref="Y9:AG9" si="9">Y15*Y4/AVERAGE(X29:Y29)</f>
        <v>6.8973621576999281E-2</v>
      </c>
      <c r="Z9" s="300">
        <f t="shared" si="9"/>
        <v>4.5206261649015825E-2</v>
      </c>
      <c r="AA9" s="300">
        <f t="shared" si="9"/>
        <v>7.5801560821665198E-2</v>
      </c>
      <c r="AB9" s="183">
        <f t="shared" si="9"/>
        <v>5.6935764158798266E-2</v>
      </c>
      <c r="AC9" s="183">
        <f t="shared" si="9"/>
        <v>7.9723489041668372E-2</v>
      </c>
      <c r="AD9" s="183">
        <f t="shared" si="9"/>
        <v>9.4677517985186865E-2</v>
      </c>
      <c r="AE9" s="183">
        <f t="shared" si="9"/>
        <v>0.10712192038116489</v>
      </c>
      <c r="AF9" s="183">
        <f t="shared" si="9"/>
        <v>6.8469803305819574E-2</v>
      </c>
      <c r="AG9" s="183">
        <f t="shared" si="9"/>
        <v>6.9239334452773138E-2</v>
      </c>
      <c r="AH9" s="129"/>
      <c r="AI9" s="183">
        <f>AI15*AI4/AVERAGE(G29:I29)</f>
        <v>5.5322376764482907E-2</v>
      </c>
      <c r="AJ9" s="183">
        <f>AJ15*AJ4/AVERAGE(K29:M29)</f>
        <v>5.3238616530097413E-2</v>
      </c>
      <c r="AK9" s="183">
        <f>AK15*AK4/AVERAGE(O29:Q29)</f>
        <v>5.247139030922815E-2</v>
      </c>
      <c r="AL9" s="183">
        <f>AL15*AL4/AVERAGE(S29:U29)</f>
        <v>6.0941597127323902E-2</v>
      </c>
      <c r="AM9" s="183">
        <f>AM15*AM4/AVERAGE(W29:Y29)</f>
        <v>6.6737546686160651E-2</v>
      </c>
      <c r="AN9" s="183">
        <f>AN15*AN4/AVERAGE(AA29:AC29)</f>
        <v>6.8788840121155909E-2</v>
      </c>
      <c r="AO9" s="183">
        <f>AO15*AO4/AVERAGE(AE29:AG29)</f>
        <v>6.8267081076787001E-2</v>
      </c>
      <c r="AP9" s="181"/>
      <c r="AQ9" s="183">
        <f>AQ15*AQ4/AVERAGE(G29:J29)</f>
        <v>6.3925501506029339E-2</v>
      </c>
      <c r="AR9" s="183">
        <f>AR15*AR4/AVERAGE(K29:N29)</f>
        <v>5.215614575880962E-2</v>
      </c>
      <c r="AS9" s="183">
        <f>AS15*AS4/AVERAGE(O29:R29)</f>
        <v>5.1964200068173823E-2</v>
      </c>
      <c r="AT9" s="183">
        <f>AT15*AT4/AVERAGE(S29:V29)</f>
        <v>7.8728638084855321E-2</v>
      </c>
      <c r="AU9" s="183">
        <f>AU15*AU4/AVERAGE(W29:Z29)</f>
        <v>5.8542585324968859E-2</v>
      </c>
      <c r="AV9" s="183">
        <f>AV15*AV4/AVERAGE(AA29:AD29)</f>
        <v>7.8119219933358727E-2</v>
      </c>
      <c r="AW9" s="181"/>
      <c r="AX9" s="183">
        <f>AX15*AX4/AVERAGE(C29:G29)</f>
        <v>5.3679140932555165E-2</v>
      </c>
      <c r="AY9" s="183">
        <f>AY15*AY4/AVERAGE(G29:K29)</f>
        <v>5.902841577213238E-2</v>
      </c>
      <c r="AZ9" s="183">
        <f>AZ15*AZ4/AVERAGE(K29:O29)</f>
        <v>5.5213747142645937E-2</v>
      </c>
      <c r="BA9" s="183">
        <f>BA15*BA4/AVERAGE(O29:S29)</f>
        <v>4.7379485487905874E-2</v>
      </c>
      <c r="BB9" s="183">
        <f>BB15*BB4/AVERAGE(S29:W29)</f>
        <v>6.9094293220882466E-2</v>
      </c>
      <c r="BC9" s="183">
        <f>BC15*BC4/AVERAGE(W29:AA29)</f>
        <v>6.320922900377203E-2</v>
      </c>
      <c r="BD9" s="183">
        <f>BD15*BD4/AVERAGE(AA29:AE29)</f>
        <v>8.5469470897492558E-2</v>
      </c>
    </row>
    <row r="10" spans="2:58" x14ac:dyDescent="0.2">
      <c r="B10" s="181" t="s">
        <v>321</v>
      </c>
      <c r="C10" s="183"/>
      <c r="D10" s="183"/>
      <c r="E10" s="183"/>
      <c r="F10" s="183"/>
      <c r="G10" s="183"/>
      <c r="H10" s="183">
        <f t="shared" ref="H10:R10" si="10">H16*H4/AVERAGE(G30:H30)</f>
        <v>4.1706981840054357E-2</v>
      </c>
      <c r="I10" s="183">
        <f t="shared" si="10"/>
        <v>4.0355362108105933E-2</v>
      </c>
      <c r="J10" s="183">
        <f t="shared" si="10"/>
        <v>3.1158200816081678E-2</v>
      </c>
      <c r="K10" s="183">
        <f t="shared" si="10"/>
        <v>3.6660005677552884E-2</v>
      </c>
      <c r="L10" s="183">
        <f t="shared" si="10"/>
        <v>3.5079000386113668E-2</v>
      </c>
      <c r="M10" s="183">
        <f t="shared" si="10"/>
        <v>2.7812155167683764E-2</v>
      </c>
      <c r="N10" s="183">
        <f t="shared" si="10"/>
        <v>2.8116492886126662E-2</v>
      </c>
      <c r="O10" s="183">
        <f t="shared" si="10"/>
        <v>2.1975707116868942E-2</v>
      </c>
      <c r="P10" s="183">
        <f t="shared" si="10"/>
        <v>1.5878853118173251E-2</v>
      </c>
      <c r="Q10" s="183">
        <f t="shared" si="10"/>
        <v>2.5944785669705612E-2</v>
      </c>
      <c r="R10" s="183">
        <f t="shared" si="10"/>
        <v>3.9347524837468097E-2</v>
      </c>
      <c r="S10" s="183">
        <f t="shared" ref="S10:X10" si="11">S16*S4/AVERAGE(R30:S30)</f>
        <v>5.3378987581575776E-2</v>
      </c>
      <c r="T10" s="183">
        <f t="shared" si="11"/>
        <v>-1.0750004064725736E-2</v>
      </c>
      <c r="U10" s="183">
        <f t="shared" si="11"/>
        <v>-1.2881067390482653E-2</v>
      </c>
      <c r="V10" s="183">
        <f t="shared" si="11"/>
        <v>-3.9325209463098178E-2</v>
      </c>
      <c r="W10" s="183">
        <f t="shared" si="11"/>
        <v>-2.4676550699517148E-2</v>
      </c>
      <c r="X10" s="183">
        <f t="shared" si="11"/>
        <v>-1.784213588467257E-2</v>
      </c>
      <c r="Y10" s="183">
        <f>Y16*Y4/AVERAGE(X30:Y30)</f>
        <v>6.3644701624311541E-4</v>
      </c>
      <c r="Z10" s="183">
        <f>Z16*Z4/AVERAGE(Y30:Z30)</f>
        <v>1.1850719166626845E-2</v>
      </c>
      <c r="AA10" s="183">
        <f>AA16*AA4/AVERAGE(Z30:AA30)</f>
        <v>2.9309079949358819E-2</v>
      </c>
      <c r="AB10" s="183">
        <f t="shared" ref="AB10:AC10" si="12">AB16*AB4/AVERAGE(AA30:AB30)</f>
        <v>-5.335747123698816E-3</v>
      </c>
      <c r="AC10" s="183">
        <f t="shared" si="12"/>
        <v>-6.2230372737712654E-2</v>
      </c>
      <c r="AD10" s="183">
        <f>AD16*AD4/AVERAGE(AC30:AD30)</f>
        <v>-8.291834928734744E-2</v>
      </c>
      <c r="AE10" s="183">
        <f>AE16*AE4/AVERAGE(AD30:AE30)</f>
        <v>-0.13694488509598662</v>
      </c>
      <c r="AF10" s="183">
        <f>AF16*AF4/AVERAGE(AE30:AF30)</f>
        <v>-9.7449626270960488E-2</v>
      </c>
      <c r="AG10" s="183">
        <f>AG16*AG4/AVERAGE(AF30:AG30)</f>
        <v>-5.6940457367970113E-2</v>
      </c>
      <c r="AH10" s="129"/>
      <c r="AI10" s="183">
        <f>AI16*AI4/AVERAGE(G30:I30)</f>
        <v>4.1012853765993305E-2</v>
      </c>
      <c r="AJ10" s="183">
        <f>AJ16*AJ4/AVERAGE(K30:M30)</f>
        <v>3.030908643223959E-2</v>
      </c>
      <c r="AK10" s="183">
        <f>AK16*AK4/AVERAGE(O30:Q30)</f>
        <v>2.0865596844313078E-2</v>
      </c>
      <c r="AL10" s="183">
        <f>AL16*AL4/AVERAGE(S30:U30)</f>
        <v>-1.203716893313236E-2</v>
      </c>
      <c r="AM10" s="183">
        <f>AM16*AM4/AVERAGE(W30:Y30)</f>
        <v>-8.8070657382362735E-3</v>
      </c>
      <c r="AN10" s="183">
        <f>AN16*AN4/AVERAGE(AA30:AC30)</f>
        <v>-3.3837433715423172E-2</v>
      </c>
      <c r="AO10" s="183">
        <f>AO16*AO4/AVERAGE(AE30:AG30)</f>
        <v>-7.7379865992988975E-2</v>
      </c>
      <c r="AP10" s="181"/>
      <c r="AQ10" s="183">
        <f>AQ16*AQ4/AVERAGE(G30:J30)</f>
        <v>3.7719645433013892E-2</v>
      </c>
      <c r="AR10" s="183">
        <f>AR16*AR4/AVERAGE(K30:N30)</f>
        <v>2.9953663378707272E-2</v>
      </c>
      <c r="AS10" s="183">
        <f>AS16*AS4/AVERAGE(O30:R30)</f>
        <v>2.6857118058993473E-2</v>
      </c>
      <c r="AT10" s="183">
        <f>AT16*AT4/AVERAGE(S30:V30)</f>
        <v>-2.0596100468539325E-2</v>
      </c>
      <c r="AU10" s="183">
        <f>AU16*AU4/AVERAGE(W30:Z30)</f>
        <v>-1.9953737772489791E-3</v>
      </c>
      <c r="AV10" s="183">
        <f>AV16*AV4/AVERAGE(AA30:AD30)</f>
        <v>-4.992710407780946E-2</v>
      </c>
      <c r="AW10" s="181"/>
      <c r="AX10" s="183">
        <f>AX16*AX4/AVERAGE(C30:G30)</f>
        <v>4.0941242658798928E-2</v>
      </c>
      <c r="AY10" s="183">
        <f>AY16*AY4/AVERAGE(G30:K30)</f>
        <v>3.6552297029288243E-2</v>
      </c>
      <c r="AZ10" s="183">
        <f>AZ16*AZ4/AVERAGE(K30:O30)</f>
        <v>2.8688858710393179E-2</v>
      </c>
      <c r="BA10" s="183">
        <f>BA16*BA4/AVERAGE(O30:S30)</f>
        <v>3.3002490970622828E-2</v>
      </c>
      <c r="BB10" s="183">
        <f>BB16*BB4/AVERAGE(S30:W30)</f>
        <v>-2.1482938099962212E-2</v>
      </c>
      <c r="BC10" s="183">
        <f>BC16*BC4/AVERAGE(W30:AA30)</f>
        <v>5.9171252256314403E-3</v>
      </c>
      <c r="BD10" s="183">
        <f>BD16*BD4/AVERAGE(AA30:AE30)</f>
        <v>-7.1988291814436861E-2</v>
      </c>
    </row>
    <row r="11" spans="2:58" x14ac:dyDescent="0.2"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</row>
    <row r="12" spans="2:58" x14ac:dyDescent="0.2">
      <c r="B12" s="176" t="s">
        <v>461</v>
      </c>
      <c r="C12" s="179"/>
      <c r="D12" s="179"/>
      <c r="E12" s="179"/>
      <c r="F12" s="179"/>
      <c r="G12" s="179"/>
      <c r="H12" s="179">
        <f t="shared" ref="H12:V12" si="13">SUM(H14:H16)</f>
        <v>13101</v>
      </c>
      <c r="I12" s="179">
        <f t="shared" si="13"/>
        <v>13047</v>
      </c>
      <c r="J12" s="179">
        <f t="shared" si="13"/>
        <v>14062</v>
      </c>
      <c r="K12" s="179">
        <f t="shared" si="13"/>
        <v>14860</v>
      </c>
      <c r="L12" s="179">
        <f t="shared" si="13"/>
        <v>17877</v>
      </c>
      <c r="M12" s="179">
        <f t="shared" si="13"/>
        <v>19241</v>
      </c>
      <c r="N12" s="179">
        <f t="shared" si="13"/>
        <v>21784</v>
      </c>
      <c r="O12" s="179">
        <f t="shared" si="13"/>
        <v>20910</v>
      </c>
      <c r="P12" s="179">
        <f t="shared" si="13"/>
        <v>21819</v>
      </c>
      <c r="Q12" s="179">
        <f t="shared" si="13"/>
        <v>29831</v>
      </c>
      <c r="R12" s="179">
        <f t="shared" si="13"/>
        <v>31301</v>
      </c>
      <c r="S12" s="179">
        <f t="shared" si="13"/>
        <v>33142</v>
      </c>
      <c r="T12" s="179">
        <f t="shared" si="13"/>
        <v>27617</v>
      </c>
      <c r="U12" s="179">
        <f t="shared" si="13"/>
        <v>12975</v>
      </c>
      <c r="V12" s="179">
        <f t="shared" si="13"/>
        <v>29103</v>
      </c>
      <c r="W12" s="179">
        <f>BB12-AT12</f>
        <v>33333</v>
      </c>
      <c r="X12" s="179">
        <f t="shared" ref="X12" si="14">SUM(X14:X16)</f>
        <v>31907</v>
      </c>
      <c r="Y12" s="179">
        <f>SUM(Y14:Y16)</f>
        <v>34924</v>
      </c>
      <c r="Z12" s="179">
        <f>SUM(Z14:Z16)</f>
        <v>36978</v>
      </c>
      <c r="AA12" s="179">
        <f>SUM(AA14:AA16)</f>
        <v>35053</v>
      </c>
      <c r="AB12" s="179">
        <f t="shared" ref="AB12:AC12" si="15">SUM(AB14:AB16)</f>
        <v>35554</v>
      </c>
      <c r="AC12" s="179">
        <f t="shared" si="15"/>
        <v>42428</v>
      </c>
      <c r="AD12" s="179">
        <f>SUM(AD14:AD16)</f>
        <v>39934</v>
      </c>
      <c r="AE12" s="179">
        <f>SUM(AE14:AE16)</f>
        <v>40145</v>
      </c>
      <c r="AF12" s="179">
        <f>SUM(AF14:AF16)</f>
        <v>34888</v>
      </c>
      <c r="AG12" s="179">
        <f>AO12-AF12</f>
        <v>38305</v>
      </c>
      <c r="AH12" s="181"/>
      <c r="AI12" s="179">
        <f>SUM(H12:I12)</f>
        <v>26148</v>
      </c>
      <c r="AJ12" s="179">
        <f>Sovcombank!AD99</f>
        <v>37118</v>
      </c>
      <c r="AK12" s="179">
        <f>Sovcombank!AH99</f>
        <v>51650</v>
      </c>
      <c r="AL12" s="179">
        <f>Sovcombank!AL99</f>
        <v>40592</v>
      </c>
      <c r="AM12" s="179">
        <f>Sovcombank!AP99</f>
        <v>66831</v>
      </c>
      <c r="AN12" s="179">
        <f>Sovcombank!AT99</f>
        <v>77982</v>
      </c>
      <c r="AO12" s="179">
        <f>Sovcombank!AX99</f>
        <v>73193</v>
      </c>
      <c r="AP12" s="181"/>
      <c r="AQ12" s="179">
        <f>SUM(H12:J12)</f>
        <v>40210</v>
      </c>
      <c r="AR12" s="179">
        <f>Sovcombank!AE99</f>
        <v>58902</v>
      </c>
      <c r="AS12" s="179">
        <f>Sovcombank!AI99</f>
        <v>82951</v>
      </c>
      <c r="AT12" s="179">
        <f>Sovcombank!AM99</f>
        <v>69695</v>
      </c>
      <c r="AU12" s="179">
        <f>Sovcombank!AQ99</f>
        <v>103809</v>
      </c>
      <c r="AV12" s="179">
        <f>Sovcombank!AU99</f>
        <v>117916</v>
      </c>
      <c r="AW12" s="181"/>
      <c r="AX12" s="179">
        <f>SUM(AX13:AX16)</f>
        <v>47479</v>
      </c>
      <c r="AY12" s="179">
        <f>SUM(AY13:AY16)</f>
        <v>55070</v>
      </c>
      <c r="AZ12" s="179">
        <f>SUM(AZ13:AZ16)</f>
        <v>79812</v>
      </c>
      <c r="BA12" s="179">
        <f>SUM(BA13:BA16)</f>
        <v>116093</v>
      </c>
      <c r="BB12" s="179">
        <f>Sovcombank!AN99</f>
        <v>103028</v>
      </c>
      <c r="BC12" s="179">
        <f>Sovcombank!AR99</f>
        <v>138862</v>
      </c>
      <c r="BD12" s="179">
        <f>Sovcombank!AV99</f>
        <v>158061</v>
      </c>
    </row>
    <row r="13" spans="2:58" x14ac:dyDescent="0.2"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</row>
    <row r="14" spans="2:58" x14ac:dyDescent="0.2">
      <c r="B14" s="181" t="s">
        <v>319</v>
      </c>
      <c r="C14" s="185"/>
      <c r="D14" s="185"/>
      <c r="E14" s="185"/>
      <c r="F14" s="185"/>
      <c r="G14" s="185"/>
      <c r="H14" s="185">
        <f>Sovcombank!Y456</f>
        <v>6139</v>
      </c>
      <c r="I14" s="185">
        <f>AI14-H14</f>
        <v>6337</v>
      </c>
      <c r="J14" s="185">
        <f>AQ14-AI14</f>
        <v>7090</v>
      </c>
      <c r="K14" s="185">
        <f>AY14-AQ14</f>
        <v>8346</v>
      </c>
      <c r="L14" s="185">
        <f>Sovcombank!AC456</f>
        <v>9806</v>
      </c>
      <c r="M14" s="185">
        <f>AJ14-L14</f>
        <v>10765</v>
      </c>
      <c r="N14" s="185">
        <f>AR14-AJ14</f>
        <v>12635</v>
      </c>
      <c r="O14" s="185">
        <f>AZ14-AR14</f>
        <v>11589</v>
      </c>
      <c r="P14" s="185">
        <f>Sovcombank!AG456</f>
        <v>13758</v>
      </c>
      <c r="Q14" s="185">
        <f>AK14-P14</f>
        <v>19487</v>
      </c>
      <c r="R14" s="185">
        <f>AS14-AK14</f>
        <v>18279</v>
      </c>
      <c r="S14" s="185">
        <f>BA14-AS14</f>
        <v>20113</v>
      </c>
      <c r="T14" s="185">
        <f>Sovcombank!AK456</f>
        <v>14264</v>
      </c>
      <c r="U14" s="185">
        <f>AL14-T14</f>
        <v>9392</v>
      </c>
      <c r="V14" s="185">
        <f>AT14-AL14</f>
        <v>13887</v>
      </c>
      <c r="W14" s="185">
        <f>BB14-AT14</f>
        <v>27886</v>
      </c>
      <c r="X14" s="185">
        <f>Sovcombank!AO456</f>
        <v>21111</v>
      </c>
      <c r="Y14" s="185">
        <f>AM14-X14</f>
        <v>20090</v>
      </c>
      <c r="Z14" s="185">
        <f>AU14-AM14</f>
        <v>24907</v>
      </c>
      <c r="AA14" s="185">
        <f>BC14-AU14</f>
        <v>11057</v>
      </c>
      <c r="AB14" s="185">
        <f>Sovcombank!AS456</f>
        <v>19830</v>
      </c>
      <c r="AC14" s="185">
        <f>AN14-AB14</f>
        <v>26581</v>
      </c>
      <c r="AD14" s="185">
        <f>AV14-AN14</f>
        <v>21396</v>
      </c>
      <c r="AE14" s="185">
        <f>BD14-AV14</f>
        <v>24486</v>
      </c>
      <c r="AF14" s="185">
        <f>Sovcombank!AW456</f>
        <v>25965</v>
      </c>
      <c r="AG14" s="185">
        <f>AO14-AF14</f>
        <v>22648</v>
      </c>
      <c r="AH14" s="181"/>
      <c r="AI14" s="185">
        <f>Sovcombank!Z456</f>
        <v>12476</v>
      </c>
      <c r="AJ14" s="186">
        <f>Sovcombank!AD456</f>
        <v>20571</v>
      </c>
      <c r="AK14" s="186">
        <f>Sovcombank!AH456</f>
        <v>33245</v>
      </c>
      <c r="AL14" s="186">
        <f>Sovcombank!AL456</f>
        <v>23656</v>
      </c>
      <c r="AM14" s="185">
        <f>Sovcombank!AP456</f>
        <v>41201</v>
      </c>
      <c r="AN14" s="185">
        <f>Sovcombank!AT456</f>
        <v>46411</v>
      </c>
      <c r="AO14" s="185">
        <f>Sovcombank!AX456</f>
        <v>48613</v>
      </c>
      <c r="AP14" s="259"/>
      <c r="AQ14" s="185">
        <f>Sovcombank!AA456</f>
        <v>19566</v>
      </c>
      <c r="AR14" s="186">
        <f>Sovcombank!AE456</f>
        <v>33206</v>
      </c>
      <c r="AS14" s="186">
        <f>Sovcombank!AI456</f>
        <v>51524</v>
      </c>
      <c r="AT14" s="186">
        <f>Sovcombank!AM456</f>
        <v>37543</v>
      </c>
      <c r="AU14" s="186">
        <f>Sovcombank!AQ456</f>
        <v>66108</v>
      </c>
      <c r="AV14" s="186">
        <f>Sovcombank!AU456</f>
        <v>67807</v>
      </c>
      <c r="AW14" s="259"/>
      <c r="AX14" s="185">
        <f>Sovcombank!X456</f>
        <v>23450</v>
      </c>
      <c r="AY14" s="185">
        <f>Sovcombank!AB456</f>
        <v>27912</v>
      </c>
      <c r="AZ14" s="185">
        <f>Sovcombank!AF456</f>
        <v>44795</v>
      </c>
      <c r="BA14" s="185">
        <f>Sovcombank!AJ456</f>
        <v>71637</v>
      </c>
      <c r="BB14" s="185">
        <f>Sovcombank!AN456</f>
        <v>65429</v>
      </c>
      <c r="BC14" s="186">
        <f>Sovcombank!AR456</f>
        <v>77165</v>
      </c>
      <c r="BD14" s="186">
        <f>Sovcombank!AV456</f>
        <v>92293</v>
      </c>
    </row>
    <row r="15" spans="2:58" x14ac:dyDescent="0.2">
      <c r="B15" s="181" t="s">
        <v>320</v>
      </c>
      <c r="C15" s="185"/>
      <c r="D15" s="185"/>
      <c r="E15" s="185"/>
      <c r="F15" s="185"/>
      <c r="G15" s="185"/>
      <c r="H15" s="185">
        <f>Sovcombank!Y457</f>
        <v>2877</v>
      </c>
      <c r="I15" s="185">
        <f>AI15-H15</f>
        <v>2853</v>
      </c>
      <c r="J15" s="185">
        <f>AQ15-AI15</f>
        <v>4030</v>
      </c>
      <c r="K15" s="185">
        <f>AY15-AQ15</f>
        <v>2499</v>
      </c>
      <c r="L15" s="185">
        <f>Sovcombank!AC457</f>
        <v>3483</v>
      </c>
      <c r="M15" s="185">
        <f>AJ15-L15</f>
        <v>3914</v>
      </c>
      <c r="N15" s="185">
        <f t="shared" ref="N15:N16" si="16">AR15-AJ15</f>
        <v>3675</v>
      </c>
      <c r="O15" s="185">
        <f t="shared" ref="O15:O16" si="17">AZ15-AR15</f>
        <v>5435</v>
      </c>
      <c r="P15" s="185">
        <f>Sovcombank!AG457</f>
        <v>5616</v>
      </c>
      <c r="Q15" s="185">
        <f>AK15-P15</f>
        <v>6452</v>
      </c>
      <c r="R15" s="185">
        <f>AS15-AK15</f>
        <v>7407</v>
      </c>
      <c r="S15" s="185">
        <f>BA15-AS15</f>
        <v>6006</v>
      </c>
      <c r="T15" s="185">
        <f>Sovcombank!AK457</f>
        <v>14758</v>
      </c>
      <c r="U15" s="185">
        <f>AL15-T15</f>
        <v>5206</v>
      </c>
      <c r="V15" s="185">
        <f t="shared" ref="V15:V16" si="18">AT15-AL15</f>
        <v>19926</v>
      </c>
      <c r="W15" s="185">
        <f t="shared" ref="W15:W16" si="19">BB15-AT15</f>
        <v>8636</v>
      </c>
      <c r="X15" s="185">
        <f>Sovcombank!AO457</f>
        <v>13280</v>
      </c>
      <c r="Y15" s="185">
        <f>AM15-X15</f>
        <v>14747</v>
      </c>
      <c r="Z15" s="185">
        <f>AU15-AM15</f>
        <v>10490</v>
      </c>
      <c r="AA15" s="185">
        <f t="shared" ref="AA15:AA16" si="20">BC15-AU15</f>
        <v>19936</v>
      </c>
      <c r="AB15" s="185">
        <f>Sovcombank!AS457</f>
        <v>16480</v>
      </c>
      <c r="AC15" s="185">
        <f t="shared" ref="AC15:AC16" si="21">AN15-AB15</f>
        <v>24585</v>
      </c>
      <c r="AD15" s="185">
        <f t="shared" ref="AD15:AD16" si="22">AV15-AN15</f>
        <v>30075</v>
      </c>
      <c r="AE15" s="185">
        <f t="shared" ref="AE15:AE16" si="23">BD15-AV15</f>
        <v>35838</v>
      </c>
      <c r="AF15" s="185">
        <f>Sovcombank!AW457</f>
        <v>23406</v>
      </c>
      <c r="AG15" s="185">
        <f t="shared" ref="AG15:AG16" si="24">AO15-AF15</f>
        <v>23715</v>
      </c>
      <c r="AH15" s="181"/>
      <c r="AI15" s="185">
        <f>Sovcombank!Z457</f>
        <v>5730</v>
      </c>
      <c r="AJ15" s="186">
        <f>Sovcombank!AD457</f>
        <v>7397</v>
      </c>
      <c r="AK15" s="186">
        <f>Sovcombank!AH457</f>
        <v>12068</v>
      </c>
      <c r="AL15" s="186">
        <f>Sovcombank!AL457</f>
        <v>19964</v>
      </c>
      <c r="AM15" s="185">
        <f>Sovcombank!AP457</f>
        <v>28027</v>
      </c>
      <c r="AN15" s="185">
        <f>Sovcombank!AT457</f>
        <v>41065</v>
      </c>
      <c r="AO15" s="185">
        <f>Sovcombank!AX457</f>
        <v>47121</v>
      </c>
      <c r="AP15" s="181"/>
      <c r="AQ15" s="185">
        <f>Sovcombank!AA457</f>
        <v>9760</v>
      </c>
      <c r="AR15" s="186">
        <f>Sovcombank!AE457</f>
        <v>11072</v>
      </c>
      <c r="AS15" s="186">
        <f>Sovcombank!AI457</f>
        <v>19475</v>
      </c>
      <c r="AT15" s="186">
        <f>Sovcombank!AM457</f>
        <v>39890</v>
      </c>
      <c r="AU15" s="186">
        <f>Sovcombank!AQ457</f>
        <v>38517</v>
      </c>
      <c r="AV15" s="186">
        <f>Sovcombank!AU457</f>
        <v>71140</v>
      </c>
      <c r="AW15" s="181"/>
      <c r="AX15" s="185">
        <f>Sovcombank!X457</f>
        <v>9267</v>
      </c>
      <c r="AY15" s="185">
        <f>Sovcombank!AB457</f>
        <v>12259</v>
      </c>
      <c r="AZ15" s="185">
        <f>Sovcombank!AF457</f>
        <v>16507</v>
      </c>
      <c r="BA15" s="185">
        <f>Sovcombank!AJ457</f>
        <v>25481</v>
      </c>
      <c r="BB15" s="185">
        <f>Sovcombank!AN457</f>
        <v>48526</v>
      </c>
      <c r="BC15" s="186">
        <f>Sovcombank!AR457</f>
        <v>58453</v>
      </c>
      <c r="BD15" s="186">
        <f>Sovcombank!AV457</f>
        <v>106978</v>
      </c>
    </row>
    <row r="16" spans="2:58" x14ac:dyDescent="0.2">
      <c r="B16" s="181" t="s">
        <v>321</v>
      </c>
      <c r="C16" s="185"/>
      <c r="D16" s="185"/>
      <c r="E16" s="185"/>
      <c r="F16" s="185"/>
      <c r="G16" s="185"/>
      <c r="H16" s="185">
        <f>Sovcombank!Y458</f>
        <v>4085</v>
      </c>
      <c r="I16" s="185">
        <f>AI16-H16</f>
        <v>3857</v>
      </c>
      <c r="J16" s="185">
        <f>AQ16-AI16</f>
        <v>2942</v>
      </c>
      <c r="K16" s="185">
        <f>AY16-AQ16</f>
        <v>4015</v>
      </c>
      <c r="L16" s="185">
        <f>Sovcombank!AC458</f>
        <v>4588</v>
      </c>
      <c r="M16" s="185">
        <f>AJ16-L16</f>
        <v>4562</v>
      </c>
      <c r="N16" s="185">
        <f t="shared" si="16"/>
        <v>5474</v>
      </c>
      <c r="O16" s="185">
        <f t="shared" si="17"/>
        <v>3886</v>
      </c>
      <c r="P16" s="185">
        <f>Sovcombank!AG458</f>
        <v>2445</v>
      </c>
      <c r="Q16" s="185">
        <f>AK16-P16</f>
        <v>3892</v>
      </c>
      <c r="R16" s="185">
        <f>AS16-AK16</f>
        <v>5615</v>
      </c>
      <c r="S16" s="185">
        <f>BA16-AS16</f>
        <v>7023</v>
      </c>
      <c r="T16" s="185">
        <f>Sovcombank!AK458</f>
        <v>-1405</v>
      </c>
      <c r="U16" s="185">
        <f>AL16-T16</f>
        <v>-1623</v>
      </c>
      <c r="V16" s="185">
        <f t="shared" si="18"/>
        <v>-4710</v>
      </c>
      <c r="W16" s="185">
        <f t="shared" si="19"/>
        <v>-3189</v>
      </c>
      <c r="X16" s="185">
        <f>Sovcombank!AO458</f>
        <v>-2484</v>
      </c>
      <c r="Y16" s="185">
        <f>AM16-X16</f>
        <v>87</v>
      </c>
      <c r="Z16" s="185">
        <f>AU16-AM16</f>
        <v>1581</v>
      </c>
      <c r="AA16" s="185">
        <f t="shared" si="20"/>
        <v>4060</v>
      </c>
      <c r="AB16" s="185">
        <f>Sovcombank!AS458</f>
        <v>-756</v>
      </c>
      <c r="AC16" s="185">
        <f t="shared" si="21"/>
        <v>-8738</v>
      </c>
      <c r="AD16" s="185">
        <f t="shared" si="22"/>
        <v>-11537</v>
      </c>
      <c r="AE16" s="185">
        <f t="shared" si="23"/>
        <v>-20179</v>
      </c>
      <c r="AF16" s="185">
        <f>Sovcombank!AW458</f>
        <v>-14483</v>
      </c>
      <c r="AG16" s="185">
        <f t="shared" si="24"/>
        <v>-8058</v>
      </c>
      <c r="AH16" s="181"/>
      <c r="AI16" s="185">
        <f>Sovcombank!Z458</f>
        <v>7942</v>
      </c>
      <c r="AJ16" s="186">
        <f>Sovcombank!AD458</f>
        <v>9150</v>
      </c>
      <c r="AK16" s="186">
        <f>Sovcombank!AH458</f>
        <v>6337</v>
      </c>
      <c r="AL16" s="186">
        <f>Sovcombank!AL458</f>
        <v>-3028</v>
      </c>
      <c r="AM16" s="185">
        <f>Sovcombank!AP458</f>
        <v>-2397</v>
      </c>
      <c r="AN16" s="185">
        <f>Sovcombank!AT458</f>
        <v>-9494</v>
      </c>
      <c r="AO16" s="185">
        <f>Sovcombank!AX458</f>
        <v>-22541</v>
      </c>
      <c r="AP16" s="181"/>
      <c r="AQ16" s="185">
        <f>Sovcombank!AA458</f>
        <v>10884</v>
      </c>
      <c r="AR16" s="186">
        <f>Sovcombank!AE458</f>
        <v>14624</v>
      </c>
      <c r="AS16" s="186">
        <f>Sovcombank!AI458</f>
        <v>11952</v>
      </c>
      <c r="AT16" s="186">
        <f>Sovcombank!AM458</f>
        <v>-7738</v>
      </c>
      <c r="AU16" s="186">
        <f>Sovcombank!AQ458</f>
        <v>-816</v>
      </c>
      <c r="AV16" s="186">
        <f>Sovcombank!AU458</f>
        <v>-21031</v>
      </c>
      <c r="AW16" s="181"/>
      <c r="AX16" s="185">
        <f>Sovcombank!X458</f>
        <v>14762</v>
      </c>
      <c r="AY16" s="185">
        <f>Sovcombank!AB458</f>
        <v>14899</v>
      </c>
      <c r="AZ16" s="185">
        <f>Sovcombank!AF458</f>
        <v>18510</v>
      </c>
      <c r="BA16" s="185">
        <f>Sovcombank!AJ458</f>
        <v>18975</v>
      </c>
      <c r="BB16" s="185">
        <f>Sovcombank!AN458</f>
        <v>-10927</v>
      </c>
      <c r="BC16" s="186">
        <f>Sovcombank!AR458</f>
        <v>3244</v>
      </c>
      <c r="BD16" s="186">
        <f>Sovcombank!AV458</f>
        <v>-41210</v>
      </c>
    </row>
    <row r="17" spans="2:56" x14ac:dyDescent="0.2"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</row>
    <row r="18" spans="2:56" x14ac:dyDescent="0.2">
      <c r="B18" s="176" t="s">
        <v>82</v>
      </c>
      <c r="C18" s="179">
        <f>Sovcombank!T63</f>
        <v>624724</v>
      </c>
      <c r="D18" s="179">
        <f>Sovcombank!U63</f>
        <v>594761</v>
      </c>
      <c r="E18" s="179">
        <f>Sovcombank!V63</f>
        <v>716817</v>
      </c>
      <c r="F18" s="179">
        <f>Sovcombank!W63</f>
        <v>728747</v>
      </c>
      <c r="G18" s="179">
        <f>Sovcombank!X63</f>
        <v>815053</v>
      </c>
      <c r="H18" s="179">
        <f>Sovcombank!Y63</f>
        <v>807121</v>
      </c>
      <c r="I18" s="179">
        <f>Sovcombank!Z63</f>
        <v>789151</v>
      </c>
      <c r="J18" s="179">
        <f>Sovcombank!AA63</f>
        <v>812316</v>
      </c>
      <c r="K18" s="179">
        <f>Sovcombank!AB63</f>
        <v>983109</v>
      </c>
      <c r="L18" s="179">
        <f>Sovcombank!AC63</f>
        <v>1118016</v>
      </c>
      <c r="M18" s="179">
        <f>Sovcombank!AD63</f>
        <v>1338706</v>
      </c>
      <c r="N18" s="179">
        <f>Sovcombank!AE63</f>
        <v>1377302</v>
      </c>
      <c r="O18" s="179">
        <f>Sovcombank!AF63</f>
        <v>1282744</v>
      </c>
      <c r="P18" s="179">
        <f>Sovcombank!AG63</f>
        <v>1381662</v>
      </c>
      <c r="Q18" s="179">
        <f>Sovcombank!AH63</f>
        <v>1581371</v>
      </c>
      <c r="R18" s="179">
        <f>Sovcombank!AI63</f>
        <v>1634066</v>
      </c>
      <c r="S18" s="179">
        <f>Sovcombank!AJ63</f>
        <v>1698680</v>
      </c>
      <c r="T18" s="179">
        <f>Sovcombank!AK63</f>
        <v>1685697</v>
      </c>
      <c r="U18" s="179">
        <f>Sovcombank!AL63</f>
        <v>1643866</v>
      </c>
      <c r="V18" s="179">
        <f>Sovcombank!AM63</f>
        <v>1795385</v>
      </c>
      <c r="W18" s="179">
        <f>Sovcombank!AN63</f>
        <v>1932613</v>
      </c>
      <c r="X18" s="179">
        <f>Sovcombank!AO63</f>
        <v>2028543</v>
      </c>
      <c r="Y18" s="179">
        <f>Sovcombank!AP63</f>
        <v>2059970</v>
      </c>
      <c r="Z18" s="179">
        <f>Sovcombank!AQ63</f>
        <v>2271807</v>
      </c>
      <c r="AA18" s="179">
        <f>Sovcombank!AR63</f>
        <v>2470918</v>
      </c>
      <c r="AB18" s="179">
        <f>Sovcombank!AS63</f>
        <v>2826273</v>
      </c>
      <c r="AC18" s="179">
        <f>Sovcombank!AT63</f>
        <v>2936998</v>
      </c>
      <c r="AD18" s="179">
        <f>Sovcombank!AU63</f>
        <v>3049639</v>
      </c>
      <c r="AE18" s="179">
        <f>Sovcombank!AV63</f>
        <v>3295930</v>
      </c>
      <c r="AF18" s="179">
        <f>Sovcombank!AW63</f>
        <v>3204203</v>
      </c>
      <c r="AG18" s="179">
        <f>Sovcombank!AX63</f>
        <v>3268578</v>
      </c>
      <c r="AH18" s="181"/>
      <c r="AI18" s="179"/>
      <c r="AJ18" s="179"/>
      <c r="AK18" s="179"/>
      <c r="AL18" s="179"/>
      <c r="AM18" s="179"/>
      <c r="AN18" s="179"/>
      <c r="AO18" s="179"/>
      <c r="AP18" s="181"/>
      <c r="AQ18" s="179"/>
      <c r="AR18" s="179"/>
      <c r="AS18" s="179"/>
      <c r="AT18" s="179"/>
      <c r="AU18" s="179"/>
      <c r="AV18" s="179"/>
      <c r="AW18" s="181"/>
      <c r="AX18" s="177"/>
      <c r="AY18" s="177"/>
      <c r="AZ18" s="177"/>
      <c r="BA18" s="177"/>
      <c r="BB18" s="177"/>
      <c r="BC18" s="177"/>
      <c r="BD18" s="177"/>
    </row>
    <row r="19" spans="2:56" x14ac:dyDescent="0.2">
      <c r="B19" s="181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</row>
    <row r="20" spans="2:56" x14ac:dyDescent="0.2">
      <c r="B20" s="181" t="s">
        <v>322</v>
      </c>
      <c r="C20" s="186">
        <f>SUM(Sovcombank!T12:T13)</f>
        <v>9338</v>
      </c>
      <c r="D20" s="186">
        <f>SUM(Sovcombank!U12:U13)</f>
        <v>6813</v>
      </c>
      <c r="E20" s="186">
        <f>SUM(Sovcombank!V12:V13)</f>
        <v>8300</v>
      </c>
      <c r="F20" s="186">
        <f>SUM(Sovcombank!W12:W13)</f>
        <v>37778</v>
      </c>
      <c r="G20" s="186">
        <f>SUM(Sovcombank!X12:X13)</f>
        <v>48535</v>
      </c>
      <c r="H20" s="186">
        <f>SUM(Sovcombank!Y12:Y13)</f>
        <v>37159</v>
      </c>
      <c r="I20" s="186">
        <f>SUM(Sovcombank!Z12:Z13)</f>
        <v>34989</v>
      </c>
      <c r="J20" s="186">
        <f>SUM(Sovcombank!AA12:AA13)</f>
        <v>33362</v>
      </c>
      <c r="K20" s="186">
        <f>SUM(Sovcombank!AB12:AB13)</f>
        <v>35861</v>
      </c>
      <c r="L20" s="186">
        <f>SUM(Sovcombank!AC12:AC13)</f>
        <v>60868</v>
      </c>
      <c r="M20" s="186">
        <f>SUM(Sovcombank!AD12:AD13)</f>
        <v>51680</v>
      </c>
      <c r="N20" s="186">
        <f>SUM(Sovcombank!AE12:AE13)</f>
        <v>59322</v>
      </c>
      <c r="O20" s="186">
        <f>SUM(Sovcombank!AF12:AF13)</f>
        <v>51115</v>
      </c>
      <c r="P20" s="186">
        <f>SUM(Sovcombank!AG12:AG13)</f>
        <v>47768</v>
      </c>
      <c r="Q20" s="186">
        <f>SUM(Sovcombank!AH12:AH13)</f>
        <v>54735</v>
      </c>
      <c r="R20" s="186">
        <f>SUM(Sovcombank!AI12:AI13)</f>
        <v>41917</v>
      </c>
      <c r="S20" s="186">
        <f>SUM(Sovcombank!AJ12:AJ13)</f>
        <v>43406</v>
      </c>
      <c r="T20" s="186">
        <f>SUM(Sovcombank!AK12:AK13)</f>
        <v>36856</v>
      </c>
      <c r="U20" s="186">
        <f>SUM(Sovcombank!AL12:AL13)</f>
        <v>29026</v>
      </c>
      <c r="V20" s="186">
        <f>SUM(Sovcombank!AM12:AM13)</f>
        <v>23083</v>
      </c>
      <c r="W20" s="186">
        <f>SUM(Sovcombank!AN12:AN13)</f>
        <v>20747</v>
      </c>
      <c r="X20" s="186">
        <f>SUM(Sovcombank!AO12:AO13)</f>
        <v>20162</v>
      </c>
      <c r="Y20" s="186">
        <f>SUM(Sovcombank!AP12:AP13)</f>
        <v>19671</v>
      </c>
      <c r="Z20" s="186">
        <f>SUM(Sovcombank!AQ12:AQ13)</f>
        <v>19317</v>
      </c>
      <c r="AA20" s="186">
        <f>SUM(Sovcombank!AR12:AR13)</f>
        <v>20715</v>
      </c>
      <c r="AB20" s="186">
        <f>SUM(Sovcombank!AS12:AS13)</f>
        <v>21860</v>
      </c>
      <c r="AC20" s="186">
        <f>SUM(Sovcombank!AT12:AT13)</f>
        <v>21936</v>
      </c>
      <c r="AD20" s="186">
        <f>SUM(Sovcombank!AU12:AU13)</f>
        <v>16491</v>
      </c>
      <c r="AE20" s="186">
        <f>SUM(Sovcombank!AV12:AV13)</f>
        <v>21712</v>
      </c>
      <c r="AF20" s="186">
        <f>SUM(Sovcombank!AW12:AW13)</f>
        <v>16008</v>
      </c>
      <c r="AG20" s="186">
        <f>SUM(Sovcombank!AX12:AX13)</f>
        <v>4638</v>
      </c>
      <c r="AH20" s="181" t="s">
        <v>325</v>
      </c>
      <c r="AI20" s="185"/>
      <c r="AJ20" s="185"/>
      <c r="AK20" s="185"/>
      <c r="AL20" s="185"/>
      <c r="AM20" s="185"/>
      <c r="AN20" s="185"/>
      <c r="AO20" s="185"/>
      <c r="AP20" s="181"/>
      <c r="AQ20" s="185"/>
      <c r="AR20" s="185"/>
      <c r="AS20" s="185"/>
      <c r="AT20" s="185"/>
      <c r="AU20" s="185"/>
      <c r="AV20" s="185"/>
      <c r="AW20" s="181"/>
      <c r="AX20" s="185"/>
      <c r="AY20" s="185"/>
      <c r="AZ20" s="185"/>
      <c r="BA20" s="185"/>
      <c r="BB20" s="185"/>
      <c r="BC20" s="185"/>
      <c r="BD20" s="185"/>
    </row>
    <row r="21" spans="2:56" x14ac:dyDescent="0.2">
      <c r="B21" s="187" t="s">
        <v>323</v>
      </c>
      <c r="C21" s="188">
        <v>0</v>
      </c>
      <c r="D21" s="188">
        <v>0</v>
      </c>
      <c r="E21" s="188">
        <v>0</v>
      </c>
      <c r="F21" s="188">
        <v>0</v>
      </c>
      <c r="G21" s="188">
        <v>12871.771200000003</v>
      </c>
      <c r="H21" s="188">
        <v>26139.300799999997</v>
      </c>
      <c r="I21" s="188">
        <v>33551</v>
      </c>
      <c r="J21" s="188">
        <v>30428</v>
      </c>
      <c r="K21" s="188">
        <v>24883</v>
      </c>
      <c r="L21" s="188">
        <v>13795</v>
      </c>
      <c r="M21" s="188">
        <v>38911</v>
      </c>
      <c r="N21" s="188">
        <v>43832</v>
      </c>
      <c r="O21" s="188">
        <v>35882</v>
      </c>
      <c r="P21" s="188">
        <v>28171</v>
      </c>
      <c r="Q21" s="188">
        <v>25854</v>
      </c>
      <c r="R21" s="188">
        <v>19094</v>
      </c>
      <c r="S21" s="188">
        <v>15999</v>
      </c>
      <c r="T21" s="188">
        <v>9769</v>
      </c>
      <c r="U21" s="188">
        <v>667</v>
      </c>
      <c r="V21" s="188">
        <v>3995</v>
      </c>
      <c r="W21" s="188">
        <v>4994</v>
      </c>
      <c r="X21" s="188">
        <v>4428</v>
      </c>
      <c r="Y21" s="188">
        <v>2973</v>
      </c>
      <c r="Z21" s="188">
        <v>1263</v>
      </c>
      <c r="AA21" s="188">
        <v>2531</v>
      </c>
      <c r="AB21" s="188">
        <v>2531</v>
      </c>
      <c r="AC21" s="188">
        <v>1677</v>
      </c>
      <c r="AD21" s="188">
        <v>2748</v>
      </c>
      <c r="AE21" s="188">
        <v>4417</v>
      </c>
      <c r="AF21" s="188">
        <v>4068</v>
      </c>
      <c r="AG21" s="188">
        <v>2072</v>
      </c>
      <c r="AH21" s="181"/>
      <c r="AI21" s="188"/>
      <c r="AJ21" s="188"/>
      <c r="AK21" s="188"/>
      <c r="AL21" s="188"/>
      <c r="AM21" s="188"/>
      <c r="AN21" s="188"/>
      <c r="AO21" s="188"/>
      <c r="AP21" s="181"/>
      <c r="AQ21" s="188"/>
      <c r="AR21" s="188"/>
      <c r="AS21" s="188"/>
      <c r="AT21" s="188"/>
      <c r="AU21" s="188"/>
      <c r="AV21" s="188"/>
      <c r="AW21" s="181"/>
      <c r="AX21" s="188"/>
      <c r="AY21" s="188"/>
      <c r="AZ21" s="188"/>
      <c r="BA21" s="188"/>
      <c r="BB21" s="188"/>
      <c r="BC21" s="188"/>
      <c r="BD21" s="188"/>
    </row>
    <row r="22" spans="2:56" x14ac:dyDescent="0.2">
      <c r="B22" s="187" t="s">
        <v>324</v>
      </c>
      <c r="C22" s="188">
        <f t="shared" ref="C22:F22" si="25">C20-C21</f>
        <v>9338</v>
      </c>
      <c r="D22" s="188">
        <f t="shared" si="25"/>
        <v>6813</v>
      </c>
      <c r="E22" s="188">
        <f t="shared" si="25"/>
        <v>8300</v>
      </c>
      <c r="F22" s="188">
        <f t="shared" si="25"/>
        <v>37778</v>
      </c>
      <c r="G22" s="188">
        <f t="shared" ref="G22:P22" si="26">G20-G21</f>
        <v>35663.228799999997</v>
      </c>
      <c r="H22" s="188">
        <f t="shared" si="26"/>
        <v>11019.699200000003</v>
      </c>
      <c r="I22" s="188">
        <f t="shared" si="26"/>
        <v>1438</v>
      </c>
      <c r="J22" s="188">
        <f t="shared" si="26"/>
        <v>2934</v>
      </c>
      <c r="K22" s="188">
        <f t="shared" si="26"/>
        <v>10978</v>
      </c>
      <c r="L22" s="188">
        <f t="shared" si="26"/>
        <v>47073</v>
      </c>
      <c r="M22" s="188">
        <f t="shared" si="26"/>
        <v>12769</v>
      </c>
      <c r="N22" s="188">
        <f t="shared" si="26"/>
        <v>15490</v>
      </c>
      <c r="O22" s="188">
        <f t="shared" si="26"/>
        <v>15233</v>
      </c>
      <c r="P22" s="188">
        <f t="shared" si="26"/>
        <v>19597</v>
      </c>
      <c r="Q22" s="188">
        <f t="shared" ref="Q22:U22" si="27">Q20-Q21</f>
        <v>28881</v>
      </c>
      <c r="R22" s="188">
        <f t="shared" si="27"/>
        <v>22823</v>
      </c>
      <c r="S22" s="188">
        <f t="shared" si="27"/>
        <v>27407</v>
      </c>
      <c r="T22" s="188">
        <f t="shared" si="27"/>
        <v>27087</v>
      </c>
      <c r="U22" s="188">
        <f t="shared" si="27"/>
        <v>28359</v>
      </c>
      <c r="V22" s="188">
        <f t="shared" ref="V22:W22" si="28">V20-V21</f>
        <v>19088</v>
      </c>
      <c r="W22" s="188">
        <f t="shared" si="28"/>
        <v>15753</v>
      </c>
      <c r="X22" s="188">
        <f t="shared" ref="X22:Z22" si="29">X20-X21</f>
        <v>15734</v>
      </c>
      <c r="Y22" s="188">
        <f t="shared" si="29"/>
        <v>16698</v>
      </c>
      <c r="Z22" s="188">
        <f t="shared" si="29"/>
        <v>18054</v>
      </c>
      <c r="AA22" s="188">
        <f t="shared" ref="AA22:AC22" si="30">AA20-AA21</f>
        <v>18184</v>
      </c>
      <c r="AB22" s="188">
        <f t="shared" si="30"/>
        <v>19329</v>
      </c>
      <c r="AC22" s="188">
        <f t="shared" si="30"/>
        <v>20259</v>
      </c>
      <c r="AD22" s="188">
        <f t="shared" ref="AD22:AE22" si="31">AD20-AD21</f>
        <v>13743</v>
      </c>
      <c r="AE22" s="188">
        <f t="shared" si="31"/>
        <v>17295</v>
      </c>
      <c r="AF22" s="188">
        <f t="shared" ref="AF22:AG22" si="32">AF20-AF21</f>
        <v>11940</v>
      </c>
      <c r="AG22" s="188">
        <f t="shared" si="32"/>
        <v>2566</v>
      </c>
      <c r="AH22" s="181"/>
      <c r="AI22" s="188"/>
      <c r="AJ22" s="188"/>
      <c r="AK22" s="188"/>
      <c r="AL22" s="188"/>
      <c r="AM22" s="188"/>
      <c r="AN22" s="188"/>
      <c r="AO22" s="188"/>
      <c r="AP22" s="181"/>
      <c r="AQ22" s="188"/>
      <c r="AR22" s="188"/>
      <c r="AS22" s="188"/>
      <c r="AT22" s="188"/>
      <c r="AU22" s="188"/>
      <c r="AV22" s="188"/>
      <c r="AW22" s="181"/>
      <c r="AX22" s="188"/>
      <c r="AY22" s="188"/>
      <c r="AZ22" s="188"/>
      <c r="BA22" s="188"/>
      <c r="BB22" s="188"/>
      <c r="BC22" s="188"/>
      <c r="BD22" s="188"/>
    </row>
    <row r="23" spans="2:56" x14ac:dyDescent="0.2">
      <c r="B23" s="181" t="s">
        <v>215</v>
      </c>
      <c r="C23" s="186">
        <f>Sovcombank!T212</f>
        <v>136652</v>
      </c>
      <c r="D23" s="186">
        <f>Sovcombank!U212</f>
        <v>150189</v>
      </c>
      <c r="E23" s="186">
        <f>Sovcombank!V212</f>
        <v>162690</v>
      </c>
      <c r="F23" s="186">
        <f>Sovcombank!W212</f>
        <v>174511</v>
      </c>
      <c r="G23" s="186">
        <f>Sovcombank!X212</f>
        <v>190048</v>
      </c>
      <c r="H23" s="186">
        <f>Sovcombank!Y212</f>
        <v>214887</v>
      </c>
      <c r="I23" s="186">
        <f>Sovcombank!Z212</f>
        <v>223062</v>
      </c>
      <c r="J23" s="186">
        <f>Sovcombank!AA212</f>
        <v>242430</v>
      </c>
      <c r="K23" s="186">
        <f>Sovcombank!AB212</f>
        <v>259886</v>
      </c>
      <c r="L23" s="186">
        <f>Sovcombank!AC212</f>
        <v>269391</v>
      </c>
      <c r="M23" s="186">
        <f>Sovcombank!AD212</f>
        <v>265573</v>
      </c>
      <c r="N23" s="186">
        <f>Sovcombank!AE212</f>
        <v>286249</v>
      </c>
      <c r="O23" s="186">
        <f>Sovcombank!AF212</f>
        <v>297960</v>
      </c>
      <c r="P23" s="186">
        <f>Sovcombank!AG212</f>
        <v>316219</v>
      </c>
      <c r="Q23" s="186">
        <f>Sovcombank!AH212</f>
        <v>429412</v>
      </c>
      <c r="R23" s="186">
        <f>Sovcombank!AI212</f>
        <v>463991</v>
      </c>
      <c r="S23" s="186">
        <f>Sovcombank!AJ212</f>
        <v>507125</v>
      </c>
      <c r="T23" s="186">
        <f>Sovcombank!AK212</f>
        <v>515497</v>
      </c>
      <c r="U23" s="186">
        <f>Sovcombank!AL212</f>
        <v>530742</v>
      </c>
      <c r="V23" s="186">
        <f>Sovcombank!AM212</f>
        <v>564241</v>
      </c>
      <c r="W23" s="186">
        <f>Sovcombank!AN212</f>
        <v>583877</v>
      </c>
      <c r="X23" s="186">
        <f>Sovcombank!AO212</f>
        <v>610924</v>
      </c>
      <c r="Y23" s="186">
        <f>Sovcombank!AP212</f>
        <v>673567</v>
      </c>
      <c r="Z23" s="186">
        <f>Sovcombank!AQ212</f>
        <v>734553</v>
      </c>
      <c r="AA23" s="186">
        <f>Sovcombank!AR212</f>
        <v>795963</v>
      </c>
      <c r="AB23" s="186">
        <f>Sovcombank!AS212</f>
        <v>1052149</v>
      </c>
      <c r="AC23" s="186">
        <f>Sovcombank!AT212</f>
        <v>1120785</v>
      </c>
      <c r="AD23" s="186">
        <f>Sovcombank!AU212</f>
        <v>1211499</v>
      </c>
      <c r="AE23" s="186">
        <f>Sovcombank!AV212</f>
        <v>1278833</v>
      </c>
      <c r="AF23" s="186">
        <f>Sovcombank!AW212</f>
        <v>1297584</v>
      </c>
      <c r="AG23" s="186">
        <f>Sovcombank!AX212</f>
        <v>1303006</v>
      </c>
      <c r="AH23" s="181" t="s">
        <v>325</v>
      </c>
      <c r="AI23" s="185"/>
      <c r="AJ23" s="185"/>
      <c r="AK23" s="185"/>
      <c r="AL23" s="185"/>
      <c r="AM23" s="185"/>
      <c r="AN23" s="185"/>
      <c r="AO23" s="185"/>
      <c r="AP23" s="181"/>
      <c r="AQ23" s="185"/>
      <c r="AR23" s="185"/>
      <c r="AS23" s="185"/>
      <c r="AT23" s="185"/>
      <c r="AU23" s="185"/>
      <c r="AV23" s="185"/>
      <c r="AW23" s="181"/>
      <c r="AX23" s="181"/>
      <c r="AY23" s="181"/>
    </row>
    <row r="24" spans="2:56" x14ac:dyDescent="0.2">
      <c r="B24" s="181" t="s">
        <v>34</v>
      </c>
      <c r="C24" s="186">
        <f>SUM(Sovcombank!T195:T197,Sovcombank!T208)</f>
        <v>109058</v>
      </c>
      <c r="D24" s="186">
        <f>SUM(Sovcombank!U195:U197,Sovcombank!U208)</f>
        <v>103962.124</v>
      </c>
      <c r="E24" s="186">
        <f>SUM(Sovcombank!V195:V197,Sovcombank!V208)</f>
        <v>180534</v>
      </c>
      <c r="F24" s="186">
        <f>SUM(Sovcombank!W195:W197,Sovcombank!W208)</f>
        <v>179668.78700000001</v>
      </c>
      <c r="G24" s="186">
        <f>SUM(Sovcombank!X195:X197,Sovcombank!X208)</f>
        <v>192069.315</v>
      </c>
      <c r="H24" s="186">
        <f>SUM(Sovcombank!Y195:Y197,Sovcombank!Y208)</f>
        <v>194924.90336773999</v>
      </c>
      <c r="I24" s="186">
        <f>SUM(Sovcombank!Z195:Z197,Sovcombank!Z208)</f>
        <v>186333.20800000001</v>
      </c>
      <c r="J24" s="186">
        <f>SUM(Sovcombank!AA195:AA197,Sovcombank!AA208)</f>
        <v>189898.834</v>
      </c>
      <c r="K24" s="186">
        <f>SUM(Sovcombank!AB195:AB197,Sovcombank!AB208)</f>
        <v>213139</v>
      </c>
      <c r="L24" s="186">
        <f>SUM(Sovcombank!AC195:AC197,Sovcombank!AC208)</f>
        <v>254334</v>
      </c>
      <c r="M24" s="186">
        <f>SUM(Sovcombank!AD195:AD197,Sovcombank!AD208)</f>
        <v>295350</v>
      </c>
      <c r="N24" s="186">
        <f>SUM(Sovcombank!AE195:AE197,Sovcombank!AE208)</f>
        <v>283057</v>
      </c>
      <c r="O24" s="186">
        <f>SUM(Sovcombank!AF195:AF197,Sovcombank!AF208)</f>
        <v>347404</v>
      </c>
      <c r="P24" s="186">
        <f>SUM(Sovcombank!AG195:AG197,Sovcombank!AG208)</f>
        <v>436166</v>
      </c>
      <c r="Q24" s="186">
        <f>SUM(Sovcombank!AH195:AH197,Sovcombank!AH208)</f>
        <v>532671</v>
      </c>
      <c r="R24" s="186">
        <f>SUM(Sovcombank!AI195:AI197,Sovcombank!AI208)</f>
        <v>596037</v>
      </c>
      <c r="S24" s="186">
        <f>SUM(Sovcombank!AJ195:AJ197,Sovcombank!AJ208)</f>
        <v>662814</v>
      </c>
      <c r="T24" s="186">
        <f>SUM(Sovcombank!AK195:AK197,Sovcombank!AK208)</f>
        <v>598866</v>
      </c>
      <c r="U24" s="186">
        <f>SUM(Sovcombank!AL195:AL197,Sovcombank!AL208)</f>
        <v>621021</v>
      </c>
      <c r="V24" s="186">
        <f>SUM(Sovcombank!AM195:AM197,Sovcombank!AM208)</f>
        <v>717636</v>
      </c>
      <c r="W24" s="186">
        <f>SUM(Sovcombank!AN195:AN197,Sovcombank!AN208)</f>
        <v>793547</v>
      </c>
      <c r="X24" s="186">
        <f>SUM(Sovcombank!AO195:AO197,Sovcombank!AO208)</f>
        <v>827553</v>
      </c>
      <c r="Y24" s="186">
        <f>SUM(Sovcombank!AP195:AP197,Sovcombank!AP208)</f>
        <v>850466</v>
      </c>
      <c r="Z24" s="186">
        <f>SUM(Sovcombank!AQ195:AQ197,Sovcombank!AQ208)</f>
        <v>971162</v>
      </c>
      <c r="AA24" s="186">
        <f>SUM(Sovcombank!AR195:AR197,Sovcombank!AR208)</f>
        <v>1096620</v>
      </c>
      <c r="AB24" s="186">
        <f>SUM(Sovcombank!AS195:AS197,Sovcombank!AS208)</f>
        <v>1181459</v>
      </c>
      <c r="AC24" s="186">
        <f>SUM(Sovcombank!AT195:AT197,Sovcombank!AT208)</f>
        <v>1245980</v>
      </c>
      <c r="AD24" s="186">
        <f>SUM(Sovcombank!AU195:AU197,Sovcombank!AU208)</f>
        <v>1261276</v>
      </c>
      <c r="AE24" s="186">
        <f>SUM(Sovcombank!AV195:AV197,Sovcombank!AV208)</f>
        <v>1384113</v>
      </c>
      <c r="AF24" s="186">
        <f>SUM(Sovcombank!AW195:AW197,Sovcombank!AW208)</f>
        <v>1321405</v>
      </c>
      <c r="AG24" s="186">
        <f>SUM(Sovcombank!AX195:AX197,Sovcombank!AX208)</f>
        <v>1404150</v>
      </c>
      <c r="AH24" s="181" t="s">
        <v>325</v>
      </c>
      <c r="AI24" s="185"/>
      <c r="AJ24" s="185"/>
      <c r="AK24" s="185"/>
      <c r="AL24" s="185"/>
      <c r="AM24" s="185"/>
      <c r="AN24" s="185"/>
      <c r="AO24" s="185"/>
      <c r="AP24" s="181"/>
      <c r="AQ24" s="185"/>
      <c r="AR24" s="185"/>
      <c r="AS24" s="185"/>
      <c r="AT24" s="185"/>
      <c r="AU24" s="185"/>
      <c r="AV24" s="185"/>
      <c r="AW24" s="181"/>
      <c r="AX24" s="181"/>
      <c r="AY24" s="181"/>
    </row>
    <row r="25" spans="2:56" x14ac:dyDescent="0.2">
      <c r="B25" s="181" t="s">
        <v>259</v>
      </c>
      <c r="C25" s="186">
        <f>SUM(Sovcombank!T192:T194,Sovcombank!T209)</f>
        <v>20535</v>
      </c>
      <c r="D25" s="186">
        <f>SUM(Sovcombank!U192:U194,Sovcombank!U209)</f>
        <v>19932.876</v>
      </c>
      <c r="E25" s="186">
        <f>SUM(Sovcombank!V192:V194,Sovcombank!V209)</f>
        <v>18435</v>
      </c>
      <c r="F25" s="186">
        <f>SUM(Sovcombank!W192:W194,Sovcombank!W209)</f>
        <v>153394.21299999999</v>
      </c>
      <c r="G25" s="186">
        <f>SUM(Sovcombank!X192:X194,Sovcombank!X209)</f>
        <v>159360.685</v>
      </c>
      <c r="H25" s="186">
        <f>SUM(Sovcombank!Y192:Y194,Sovcombank!Y209)</f>
        <v>143696.09663226001</v>
      </c>
      <c r="I25" s="186">
        <f>SUM(Sovcombank!Z192:Z194,Sovcombank!Z209)</f>
        <v>126510.792</v>
      </c>
      <c r="J25" s="186">
        <f>SUM(Sovcombank!AA192:AA194,Sovcombank!AA209)</f>
        <v>120583.166</v>
      </c>
      <c r="K25" s="186">
        <f>SUM(Sovcombank!AB192:AB194,Sovcombank!AB209)</f>
        <v>112195</v>
      </c>
      <c r="L25" s="186">
        <f>SUM(Sovcombank!AC192:AC194,Sovcombank!AC209)</f>
        <v>129409</v>
      </c>
      <c r="M25" s="186">
        <f>SUM(Sovcombank!AD192:AD194,Sovcombank!AD209)</f>
        <v>117097</v>
      </c>
      <c r="N25" s="186">
        <f>SUM(Sovcombank!AE192:AE194,Sovcombank!AE209)</f>
        <v>111803</v>
      </c>
      <c r="O25" s="186">
        <f>SUM(Sovcombank!AF192:AF194,Sovcombank!AF209)</f>
        <v>65748</v>
      </c>
      <c r="P25" s="186">
        <f>SUM(Sovcombank!AG192:AG194,Sovcombank!AG209)</f>
        <v>44331</v>
      </c>
      <c r="Q25" s="186">
        <f>SUM(Sovcombank!AH192:AH194,Sovcombank!AH209)</f>
        <v>35632</v>
      </c>
      <c r="R25" s="186">
        <f>SUM(Sovcombank!AI192:AI194,Sovcombank!AI209)</f>
        <v>33173</v>
      </c>
      <c r="S25" s="186">
        <f>SUM(Sovcombank!AJ192:AJ194,Sovcombank!AJ209)</f>
        <v>26916</v>
      </c>
      <c r="T25" s="186">
        <f>SUM(Sovcombank!AK192:AK194,Sovcombank!AK209)</f>
        <v>24898</v>
      </c>
      <c r="U25" s="186">
        <f>SUM(Sovcombank!AL192:AL194,Sovcombank!AL209)</f>
        <v>12268</v>
      </c>
      <c r="V25" s="186">
        <f>SUM(Sovcombank!AM192:AM194,Sovcombank!AM209)</f>
        <v>11630</v>
      </c>
      <c r="W25" s="186">
        <f>SUM(Sovcombank!AN192:AN194,Sovcombank!AN209)</f>
        <v>9500</v>
      </c>
      <c r="X25" s="186">
        <f>SUM(Sovcombank!AO192:AO194,Sovcombank!AO209)</f>
        <v>9094</v>
      </c>
      <c r="Y25" s="186">
        <f>SUM(Sovcombank!AP192:AP194,Sovcombank!AP209)</f>
        <v>2899</v>
      </c>
      <c r="Z25" s="186">
        <f>SUM(Sovcombank!AQ192:AQ194,Sovcombank!AQ209)</f>
        <v>16493</v>
      </c>
      <c r="AA25" s="186">
        <f>SUM(Sovcombank!AR192:AR194,Sovcombank!AR209)</f>
        <v>1954</v>
      </c>
      <c r="AB25" s="186">
        <f>SUM(Sovcombank!AS192:AS194,Sovcombank!AS209)</f>
        <v>1992</v>
      </c>
      <c r="AC25" s="186">
        <f>SUM(Sovcombank!AT192:AT194,Sovcombank!AT209)</f>
        <v>1938</v>
      </c>
      <c r="AD25" s="186">
        <f>SUM(Sovcombank!AU192:AU194,Sovcombank!AU209)</f>
        <v>1974</v>
      </c>
      <c r="AE25" s="186">
        <f>SUM(Sovcombank!AV192:AV194,Sovcombank!AV209)</f>
        <v>1045</v>
      </c>
      <c r="AF25" s="186">
        <f>SUM(Sovcombank!AW192:AW194,Sovcombank!AW209)</f>
        <v>1066</v>
      </c>
      <c r="AG25" s="186">
        <f>SUM(Sovcombank!AX192:AX194,Sovcombank!AX209)</f>
        <v>1033</v>
      </c>
      <c r="AH25" s="181" t="s">
        <v>325</v>
      </c>
      <c r="AI25" s="185"/>
      <c r="AJ25" s="185"/>
      <c r="AK25" s="185"/>
      <c r="AL25" s="185"/>
      <c r="AM25" s="185"/>
      <c r="AN25" s="185"/>
      <c r="AO25" s="185"/>
      <c r="AP25" s="181"/>
      <c r="AQ25" s="185"/>
      <c r="AR25" s="185"/>
      <c r="AS25" s="185"/>
      <c r="AT25" s="185"/>
      <c r="AU25" s="185"/>
      <c r="AV25" s="185"/>
      <c r="AW25" s="181"/>
      <c r="AX25" s="181"/>
      <c r="AY25" s="181"/>
    </row>
    <row r="26" spans="2:56" x14ac:dyDescent="0.2">
      <c r="B26" s="181" t="s">
        <v>326</v>
      </c>
      <c r="C26" s="186">
        <f>SUM(Sovcombank!T15:T16,Sovcombank!T19:T20)</f>
        <v>349141</v>
      </c>
      <c r="D26" s="186">
        <f>SUM(Sovcombank!U15:U16,Sovcombank!U19:U20)</f>
        <v>313864</v>
      </c>
      <c r="E26" s="186">
        <f>SUM(Sovcombank!V15:V16,Sovcombank!V19:V20)</f>
        <v>346858</v>
      </c>
      <c r="F26" s="186">
        <f>SUM(Sovcombank!W15:W16,Sovcombank!W19:W20)</f>
        <v>183395</v>
      </c>
      <c r="G26" s="186">
        <f>SUM(Sovcombank!X15:X16,Sovcombank!X19:X20)</f>
        <v>225040</v>
      </c>
      <c r="H26" s="186">
        <f>SUM(Sovcombank!Y15:Y16,Sovcombank!Y19:Y20)</f>
        <v>216454</v>
      </c>
      <c r="I26" s="186">
        <f>SUM(Sovcombank!Z15:Z16,Sovcombank!Z19:Z20)</f>
        <v>218256</v>
      </c>
      <c r="J26" s="186">
        <f>SUM(Sovcombank!AA15:AA16,Sovcombank!AA19:AA20)</f>
        <v>226042</v>
      </c>
      <c r="K26" s="186">
        <f>SUM(Sovcombank!AB15:AB16,Sovcombank!AB19:AB20)</f>
        <v>362028</v>
      </c>
      <c r="L26" s="186">
        <f>SUM(Sovcombank!AC15:AC16,Sovcombank!AC19:AC20)</f>
        <v>404014</v>
      </c>
      <c r="M26" s="186">
        <f>SUM(Sovcombank!AD15:AD16,Sovcombank!AD19:AD20)</f>
        <v>609006</v>
      </c>
      <c r="N26" s="186">
        <f>SUM(Sovcombank!AE15:AE16,Sovcombank!AE19:AE20)</f>
        <v>636871</v>
      </c>
      <c r="O26" s="186">
        <f>SUM(Sovcombank!AF15:AF16,Sovcombank!AF19:AF20)</f>
        <v>520517</v>
      </c>
      <c r="P26" s="186">
        <f>SUM(Sovcombank!AG15:AG16,Sovcombank!AG19:AG20)</f>
        <v>537178</v>
      </c>
      <c r="Q26" s="186">
        <f>SUM(Sovcombank!AH15:AH16,Sovcombank!AH19:AH20)</f>
        <v>528921</v>
      </c>
      <c r="R26" s="186">
        <f>SUM(Sovcombank!AI15:AI16,Sovcombank!AI19:AI20)</f>
        <v>498948</v>
      </c>
      <c r="S26" s="186">
        <f>SUM(Sovcombank!AJ15:AJ16,Sovcombank!AJ19:AJ20)</f>
        <v>458419</v>
      </c>
      <c r="T26" s="186">
        <f>SUM(Sovcombank!AK15:AK16,Sovcombank!AK19:AK20)</f>
        <v>509580</v>
      </c>
      <c r="U26" s="186">
        <f>SUM(Sovcombank!AL15:AL16,Sovcombank!AL19:AL20)</f>
        <v>450809</v>
      </c>
      <c r="V26" s="186">
        <f>SUM(Sovcombank!AM15:AM16,Sovcombank!AM19:AM20)</f>
        <v>478795</v>
      </c>
      <c r="W26" s="186">
        <f>SUM(Sovcombank!AN15:AN16,Sovcombank!AN19:AN20)</f>
        <v>524942</v>
      </c>
      <c r="X26" s="186">
        <f>SUM(Sovcombank!AO15:AO16,Sovcombank!AO19:AO20)</f>
        <v>560810</v>
      </c>
      <c r="Y26" s="186">
        <f>SUM(Sovcombank!AP15:AP16,Sovcombank!AP19:AP20)</f>
        <v>513367</v>
      </c>
      <c r="Z26" s="186">
        <f>SUM(Sovcombank!AQ15:AQ16,Sovcombank!AQ19:AQ20)</f>
        <v>530282</v>
      </c>
      <c r="AA26" s="186">
        <f>SUM(Sovcombank!AR15:AR16,Sovcombank!AR19:AR20)</f>
        <v>555666</v>
      </c>
      <c r="AB26" s="186">
        <f>SUM(Sovcombank!AS15:AS16,Sovcombank!AS19:AS20)</f>
        <v>568813</v>
      </c>
      <c r="AC26" s="186">
        <f>SUM(Sovcombank!AT15:AT16,Sovcombank!AT19:AT20)</f>
        <v>546359</v>
      </c>
      <c r="AD26" s="186">
        <f>SUM(Sovcombank!AU15:AU16,Sovcombank!AU19:AU20)</f>
        <v>558399</v>
      </c>
      <c r="AE26" s="186">
        <f>SUM(Sovcombank!AV15:AV16,Sovcombank!AV19:AV20)</f>
        <v>610227</v>
      </c>
      <c r="AF26" s="186">
        <f>SUM(Sovcombank!AW15:AW16,Sovcombank!AW19:AW20)</f>
        <v>568140</v>
      </c>
      <c r="AG26" s="186">
        <f>SUM(Sovcombank!AX15:AX16,Sovcombank!AX19:AX20)</f>
        <v>555751</v>
      </c>
      <c r="AH26" s="181"/>
      <c r="AI26" s="185"/>
      <c r="AJ26" s="185"/>
      <c r="AK26" s="185"/>
      <c r="AL26" s="185"/>
      <c r="AM26" s="185"/>
      <c r="AN26" s="185"/>
      <c r="AO26" s="185"/>
      <c r="AP26" s="181"/>
      <c r="AQ26" s="185"/>
      <c r="AR26" s="185"/>
      <c r="AS26" s="185"/>
      <c r="AT26" s="185"/>
      <c r="AU26" s="185"/>
      <c r="AV26" s="185"/>
      <c r="AW26" s="181"/>
      <c r="AX26" s="181"/>
      <c r="AY26" s="181"/>
    </row>
    <row r="27" spans="2:56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1"/>
      <c r="AI27" s="185"/>
      <c r="AJ27" s="181"/>
      <c r="AK27" s="181"/>
      <c r="AL27" s="181"/>
      <c r="AM27" s="181"/>
      <c r="AN27" s="181"/>
      <c r="AO27" s="181"/>
      <c r="AP27" s="181"/>
      <c r="AQ27" s="185"/>
      <c r="AR27" s="181"/>
      <c r="AS27" s="181"/>
      <c r="AT27" s="181"/>
      <c r="AU27" s="181"/>
      <c r="AV27" s="181"/>
      <c r="AW27" s="181"/>
      <c r="AX27" s="181"/>
      <c r="AY27" s="181"/>
    </row>
    <row r="28" spans="2:56" x14ac:dyDescent="0.2">
      <c r="B28" s="181" t="s">
        <v>319</v>
      </c>
      <c r="C28" s="185">
        <f>C23</f>
        <v>136652</v>
      </c>
      <c r="D28" s="185">
        <f>D23</f>
        <v>150189</v>
      </c>
      <c r="E28" s="185">
        <f t="shared" ref="E28:F28" si="33">E23</f>
        <v>162690</v>
      </c>
      <c r="F28" s="185">
        <f t="shared" si="33"/>
        <v>174511</v>
      </c>
      <c r="G28" s="185">
        <f t="shared" ref="G28:N28" si="34">G23</f>
        <v>190048</v>
      </c>
      <c r="H28" s="185">
        <f t="shared" si="34"/>
        <v>214887</v>
      </c>
      <c r="I28" s="185">
        <f t="shared" si="34"/>
        <v>223062</v>
      </c>
      <c r="J28" s="185">
        <f t="shared" si="34"/>
        <v>242430</v>
      </c>
      <c r="K28" s="185">
        <f t="shared" si="34"/>
        <v>259886</v>
      </c>
      <c r="L28" s="185">
        <f t="shared" si="34"/>
        <v>269391</v>
      </c>
      <c r="M28" s="185">
        <f t="shared" si="34"/>
        <v>265573</v>
      </c>
      <c r="N28" s="185">
        <f t="shared" si="34"/>
        <v>286249</v>
      </c>
      <c r="O28" s="185">
        <f t="shared" ref="O28:R28" si="35">O23</f>
        <v>297960</v>
      </c>
      <c r="P28" s="185">
        <f t="shared" si="35"/>
        <v>316219</v>
      </c>
      <c r="Q28" s="185">
        <f t="shared" si="35"/>
        <v>429412</v>
      </c>
      <c r="R28" s="185">
        <f t="shared" si="35"/>
        <v>463991</v>
      </c>
      <c r="S28" s="185">
        <f t="shared" ref="S28:X28" si="36">S23</f>
        <v>507125</v>
      </c>
      <c r="T28" s="185">
        <f t="shared" si="36"/>
        <v>515497</v>
      </c>
      <c r="U28" s="185">
        <f t="shared" si="36"/>
        <v>530742</v>
      </c>
      <c r="V28" s="185">
        <f t="shared" si="36"/>
        <v>564241</v>
      </c>
      <c r="W28" s="185">
        <f t="shared" si="36"/>
        <v>583877</v>
      </c>
      <c r="X28" s="185">
        <f t="shared" si="36"/>
        <v>610924</v>
      </c>
      <c r="Y28" s="185">
        <f t="shared" ref="Y28:AD28" si="37">Y23</f>
        <v>673567</v>
      </c>
      <c r="Z28" s="185">
        <f t="shared" si="37"/>
        <v>734553</v>
      </c>
      <c r="AA28" s="185">
        <f t="shared" si="37"/>
        <v>795963</v>
      </c>
      <c r="AB28" s="185">
        <f t="shared" si="37"/>
        <v>1052149</v>
      </c>
      <c r="AC28" s="185">
        <f t="shared" si="37"/>
        <v>1120785</v>
      </c>
      <c r="AD28" s="185">
        <f t="shared" si="37"/>
        <v>1211499</v>
      </c>
      <c r="AE28" s="185">
        <f t="shared" ref="AE28:AF28" si="38">AE23</f>
        <v>1278833</v>
      </c>
      <c r="AF28" s="185">
        <f t="shared" si="38"/>
        <v>1297584</v>
      </c>
      <c r="AG28" s="185">
        <f>AG23</f>
        <v>1303006</v>
      </c>
      <c r="AH28" s="181" t="s">
        <v>325</v>
      </c>
      <c r="AI28" s="185"/>
      <c r="AJ28" s="185"/>
      <c r="AK28" s="185"/>
      <c r="AL28" s="185"/>
      <c r="AM28" s="185"/>
      <c r="AN28" s="185"/>
      <c r="AO28" s="185"/>
      <c r="AP28" s="181"/>
      <c r="AQ28" s="185"/>
      <c r="AR28" s="185"/>
      <c r="AS28" s="185"/>
      <c r="AT28" s="185"/>
      <c r="AU28" s="185"/>
      <c r="AV28" s="185"/>
      <c r="AW28" s="181"/>
      <c r="AX28" s="181"/>
      <c r="AY28" s="181"/>
    </row>
    <row r="29" spans="2:56" x14ac:dyDescent="0.2">
      <c r="B29" s="181" t="s">
        <v>320</v>
      </c>
      <c r="C29" s="185">
        <f t="shared" ref="C29:F29" si="39">C22+C24</f>
        <v>118396</v>
      </c>
      <c r="D29" s="185">
        <f t="shared" si="39"/>
        <v>110775.124</v>
      </c>
      <c r="E29" s="185">
        <f t="shared" si="39"/>
        <v>188834</v>
      </c>
      <c r="F29" s="185">
        <f t="shared" si="39"/>
        <v>217446.78700000001</v>
      </c>
      <c r="G29" s="185">
        <f t="shared" ref="G29:N29" si="40">G22+G24</f>
        <v>227732.54379999998</v>
      </c>
      <c r="H29" s="185">
        <f t="shared" si="40"/>
        <v>205944.60256773999</v>
      </c>
      <c r="I29" s="185">
        <f t="shared" si="40"/>
        <v>187771.20800000001</v>
      </c>
      <c r="J29" s="185">
        <f t="shared" si="40"/>
        <v>192832.834</v>
      </c>
      <c r="K29" s="185">
        <f t="shared" si="40"/>
        <v>224117</v>
      </c>
      <c r="L29" s="185">
        <f t="shared" si="40"/>
        <v>301407</v>
      </c>
      <c r="M29" s="185">
        <f t="shared" si="40"/>
        <v>308119</v>
      </c>
      <c r="N29" s="185">
        <f t="shared" si="40"/>
        <v>298547</v>
      </c>
      <c r="O29" s="185">
        <f t="shared" ref="O29:R29" si="41">O22+O24</f>
        <v>362637</v>
      </c>
      <c r="P29" s="185">
        <f t="shared" si="41"/>
        <v>455763</v>
      </c>
      <c r="Q29" s="185">
        <f t="shared" si="41"/>
        <v>561552</v>
      </c>
      <c r="R29" s="185">
        <f t="shared" si="41"/>
        <v>618860</v>
      </c>
      <c r="S29" s="185">
        <f t="shared" ref="S29:X29" si="42">S22+S24</f>
        <v>690221</v>
      </c>
      <c r="T29" s="185">
        <f t="shared" si="42"/>
        <v>625953</v>
      </c>
      <c r="U29" s="185">
        <f t="shared" si="42"/>
        <v>649380</v>
      </c>
      <c r="V29" s="185">
        <f t="shared" si="42"/>
        <v>736724</v>
      </c>
      <c r="W29" s="185">
        <f t="shared" si="42"/>
        <v>809300</v>
      </c>
      <c r="X29" s="185">
        <f t="shared" si="42"/>
        <v>843287</v>
      </c>
      <c r="Y29" s="185">
        <f t="shared" ref="Y29:AD29" si="43">Y22+Y24</f>
        <v>867164</v>
      </c>
      <c r="Z29" s="185">
        <f t="shared" si="43"/>
        <v>989216</v>
      </c>
      <c r="AA29" s="185">
        <f t="shared" si="43"/>
        <v>1114804</v>
      </c>
      <c r="AB29" s="185">
        <f t="shared" si="43"/>
        <v>1200788</v>
      </c>
      <c r="AC29" s="185">
        <f t="shared" si="43"/>
        <v>1266239</v>
      </c>
      <c r="AD29" s="185">
        <f t="shared" si="43"/>
        <v>1275019</v>
      </c>
      <c r="AE29" s="185">
        <f t="shared" ref="AE29:AG29" si="44">AE22+AE24</f>
        <v>1401408</v>
      </c>
      <c r="AF29" s="185">
        <f t="shared" si="44"/>
        <v>1333345</v>
      </c>
      <c r="AG29" s="185">
        <f t="shared" si="44"/>
        <v>1406716</v>
      </c>
      <c r="AH29" s="181" t="s">
        <v>325</v>
      </c>
      <c r="AI29" s="185"/>
      <c r="AJ29" s="185"/>
      <c r="AK29" s="185"/>
      <c r="AL29" s="185"/>
      <c r="AM29" s="185"/>
      <c r="AN29" s="185"/>
      <c r="AO29" s="185"/>
      <c r="AP29" s="181"/>
      <c r="AQ29" s="185"/>
      <c r="AR29" s="185"/>
      <c r="AS29" s="185"/>
      <c r="AT29" s="185"/>
      <c r="AU29" s="185"/>
      <c r="AV29" s="185"/>
      <c r="AW29" s="181"/>
      <c r="AX29" s="181"/>
      <c r="AY29" s="181"/>
    </row>
    <row r="30" spans="2:56" x14ac:dyDescent="0.2">
      <c r="B30" s="181" t="s">
        <v>321</v>
      </c>
      <c r="C30" s="185">
        <f t="shared" ref="C30:F30" si="45">C25+C26+C21</f>
        <v>369676</v>
      </c>
      <c r="D30" s="185">
        <f t="shared" si="45"/>
        <v>333796.87599999999</v>
      </c>
      <c r="E30" s="185">
        <f t="shared" si="45"/>
        <v>365293</v>
      </c>
      <c r="F30" s="185">
        <f t="shared" si="45"/>
        <v>336789.21299999999</v>
      </c>
      <c r="G30" s="185">
        <f t="shared" ref="G30:N30" si="46">G25+G26+G21</f>
        <v>397272.45620000002</v>
      </c>
      <c r="H30" s="185">
        <f t="shared" si="46"/>
        <v>386289.39743225998</v>
      </c>
      <c r="I30" s="185">
        <f t="shared" si="46"/>
        <v>378317.79200000002</v>
      </c>
      <c r="J30" s="185">
        <f t="shared" si="46"/>
        <v>377053.16599999997</v>
      </c>
      <c r="K30" s="185">
        <f t="shared" si="46"/>
        <v>499106</v>
      </c>
      <c r="L30" s="185">
        <f t="shared" si="46"/>
        <v>547218</v>
      </c>
      <c r="M30" s="185">
        <f t="shared" si="46"/>
        <v>765014</v>
      </c>
      <c r="N30" s="185">
        <f t="shared" si="46"/>
        <v>792506</v>
      </c>
      <c r="O30" s="185">
        <f t="shared" ref="O30:R30" si="47">O25+O26+O21</f>
        <v>622147</v>
      </c>
      <c r="P30" s="185">
        <f t="shared" si="47"/>
        <v>609680</v>
      </c>
      <c r="Q30" s="185">
        <f t="shared" si="47"/>
        <v>590407</v>
      </c>
      <c r="R30" s="185">
        <f t="shared" si="47"/>
        <v>551215</v>
      </c>
      <c r="S30" s="185">
        <f t="shared" ref="S30:X30" si="48">S25+S26+S21</f>
        <v>501334</v>
      </c>
      <c r="T30" s="185">
        <f t="shared" si="48"/>
        <v>544247</v>
      </c>
      <c r="U30" s="185">
        <f t="shared" si="48"/>
        <v>463744</v>
      </c>
      <c r="V30" s="185">
        <f t="shared" si="48"/>
        <v>494420</v>
      </c>
      <c r="W30" s="185">
        <f t="shared" si="48"/>
        <v>539436</v>
      </c>
      <c r="X30" s="185">
        <f t="shared" si="48"/>
        <v>574332</v>
      </c>
      <c r="Y30" s="185">
        <f t="shared" ref="Y30:AD30" si="49">Y25+Y26+Y21</f>
        <v>519239</v>
      </c>
      <c r="Z30" s="185">
        <f t="shared" si="49"/>
        <v>548038</v>
      </c>
      <c r="AA30" s="185">
        <f t="shared" si="49"/>
        <v>560151</v>
      </c>
      <c r="AB30" s="185">
        <f t="shared" si="49"/>
        <v>573336</v>
      </c>
      <c r="AC30" s="185">
        <f t="shared" si="49"/>
        <v>549974</v>
      </c>
      <c r="AD30" s="185">
        <f t="shared" si="49"/>
        <v>563121</v>
      </c>
      <c r="AE30" s="185">
        <f t="shared" ref="AE30:AG30" si="50">AE25+AE26+AE21</f>
        <v>615689</v>
      </c>
      <c r="AF30" s="185">
        <f t="shared" si="50"/>
        <v>573274</v>
      </c>
      <c r="AG30" s="185">
        <f t="shared" si="50"/>
        <v>558856</v>
      </c>
      <c r="AH30" s="181" t="s">
        <v>325</v>
      </c>
      <c r="AI30" s="185"/>
      <c r="AJ30" s="185"/>
      <c r="AK30" s="185"/>
      <c r="AL30" s="185"/>
      <c r="AM30" s="185"/>
      <c r="AN30" s="185"/>
      <c r="AO30" s="185"/>
      <c r="AP30" s="181"/>
      <c r="AQ30" s="185"/>
      <c r="AR30" s="185"/>
      <c r="AS30" s="185"/>
      <c r="AT30" s="185"/>
      <c r="AU30" s="185"/>
      <c r="AV30" s="185"/>
      <c r="AW30" s="181"/>
      <c r="AX30" s="181"/>
      <c r="AY30" s="181"/>
    </row>
    <row r="31" spans="2:56" x14ac:dyDescent="0.2">
      <c r="B31" s="287" t="s">
        <v>31</v>
      </c>
      <c r="C31" s="293">
        <f t="shared" ref="C31:F31" si="51">C18-SUM(C20,C23:C26)</f>
        <v>0</v>
      </c>
      <c r="D31" s="293">
        <f t="shared" si="51"/>
        <v>0</v>
      </c>
      <c r="E31" s="293">
        <f t="shared" si="51"/>
        <v>0</v>
      </c>
      <c r="F31" s="293">
        <f t="shared" si="51"/>
        <v>0</v>
      </c>
      <c r="G31" s="293">
        <f>G18-SUM(G20,G23:G26)</f>
        <v>0</v>
      </c>
      <c r="H31" s="293">
        <f t="shared" ref="H31:Y31" si="52">H18-SUM(H20,H23:H26)</f>
        <v>0</v>
      </c>
      <c r="I31" s="293">
        <f t="shared" si="52"/>
        <v>0</v>
      </c>
      <c r="J31" s="293">
        <f t="shared" si="52"/>
        <v>0</v>
      </c>
      <c r="K31" s="293">
        <f t="shared" si="52"/>
        <v>0</v>
      </c>
      <c r="L31" s="293">
        <f t="shared" si="52"/>
        <v>0</v>
      </c>
      <c r="M31" s="293">
        <f t="shared" si="52"/>
        <v>0</v>
      </c>
      <c r="N31" s="293">
        <f t="shared" si="52"/>
        <v>0</v>
      </c>
      <c r="O31" s="293">
        <f t="shared" si="52"/>
        <v>0</v>
      </c>
      <c r="P31" s="293">
        <f t="shared" si="52"/>
        <v>0</v>
      </c>
      <c r="Q31" s="293">
        <f t="shared" si="52"/>
        <v>0</v>
      </c>
      <c r="R31" s="293">
        <f t="shared" si="52"/>
        <v>0</v>
      </c>
      <c r="S31" s="293">
        <f t="shared" si="52"/>
        <v>0</v>
      </c>
      <c r="T31" s="293">
        <f t="shared" si="52"/>
        <v>0</v>
      </c>
      <c r="U31" s="293">
        <f t="shared" si="52"/>
        <v>0</v>
      </c>
      <c r="V31" s="293">
        <f t="shared" si="52"/>
        <v>0</v>
      </c>
      <c r="W31" s="293">
        <f t="shared" si="52"/>
        <v>0</v>
      </c>
      <c r="X31" s="293">
        <f t="shared" si="52"/>
        <v>0</v>
      </c>
      <c r="Y31" s="293">
        <f t="shared" si="52"/>
        <v>0</v>
      </c>
      <c r="Z31" s="293">
        <f t="shared" ref="Z31:AA31" si="53">Z18-SUM(Z20,Z23:Z26)</f>
        <v>0</v>
      </c>
      <c r="AA31" s="293">
        <f t="shared" si="53"/>
        <v>0</v>
      </c>
      <c r="AB31" s="293">
        <f t="shared" ref="AB31:AC31" si="54">AB18-SUM(AB20,AB23:AB26)</f>
        <v>0</v>
      </c>
      <c r="AC31" s="293">
        <f t="shared" si="54"/>
        <v>0</v>
      </c>
      <c r="AD31" s="293">
        <f t="shared" ref="AD31:AE31" si="55">AD18-SUM(AD20,AD23:AD26)</f>
        <v>0</v>
      </c>
      <c r="AE31" s="293">
        <f t="shared" si="55"/>
        <v>0</v>
      </c>
      <c r="AF31" s="293">
        <f t="shared" ref="AF31:AG31" si="56">AF18-SUM(AF20,AF23:AF26)</f>
        <v>0</v>
      </c>
      <c r="AG31" s="293">
        <f t="shared" si="56"/>
        <v>0</v>
      </c>
      <c r="AI31" s="180"/>
      <c r="AJ31" s="180"/>
      <c r="AK31" s="180"/>
      <c r="AL31" s="180"/>
      <c r="AM31" s="180"/>
      <c r="AN31" s="180"/>
      <c r="AO31" s="180"/>
      <c r="AQ31" s="180"/>
      <c r="AR31" s="180"/>
      <c r="AS31" s="180"/>
      <c r="AT31" s="180"/>
      <c r="AU31" s="180"/>
      <c r="AV31" s="180"/>
    </row>
    <row r="32" spans="2:56" x14ac:dyDescent="0.2">
      <c r="AI32" s="180"/>
      <c r="AJ32" s="180"/>
      <c r="AK32" s="180"/>
      <c r="AL32" s="180"/>
      <c r="AM32" s="180"/>
      <c r="AN32" s="180"/>
      <c r="AO32" s="180"/>
      <c r="AQ32" s="180"/>
      <c r="AR32" s="180"/>
      <c r="AS32" s="180"/>
      <c r="AT32" s="180"/>
      <c r="AU32" s="180"/>
      <c r="AV32" s="180"/>
    </row>
    <row r="33" spans="2:56" hidden="1" outlineLevel="1" x14ac:dyDescent="0.2">
      <c r="B33" s="176" t="s">
        <v>309</v>
      </c>
      <c r="C33" s="177"/>
      <c r="D33" s="177"/>
      <c r="E33" s="177"/>
      <c r="F33" s="177"/>
      <c r="G33" s="177"/>
      <c r="H33" s="177">
        <f t="shared" ref="H33:AG33" si="57">H41*H4/AVERAGE(G44:H44)</f>
        <v>7.6730035408573691E-2</v>
      </c>
      <c r="I33" s="177">
        <f t="shared" si="57"/>
        <v>8.0826981881246859E-2</v>
      </c>
      <c r="J33" s="177">
        <f t="shared" si="57"/>
        <v>8.2306706397499707E-2</v>
      </c>
      <c r="K33" s="177">
        <f t="shared" si="57"/>
        <v>8.1442596943891526E-2</v>
      </c>
      <c r="L33" s="177">
        <f t="shared" si="57"/>
        <v>7.6799625842979904E-2</v>
      </c>
      <c r="M33" s="177">
        <f t="shared" si="57"/>
        <v>6.9447295521352037E-2</v>
      </c>
      <c r="N33" s="177">
        <f t="shared" si="57"/>
        <v>7.544080563554427E-2</v>
      </c>
      <c r="O33" s="177">
        <f t="shared" si="57"/>
        <v>6.9181925890655652E-2</v>
      </c>
      <c r="P33" s="177">
        <f t="shared" si="57"/>
        <v>7.0810215613084856E-2</v>
      </c>
      <c r="Q33" s="177">
        <f t="shared" si="57"/>
        <v>9.021610040074618E-2</v>
      </c>
      <c r="R33" s="177">
        <f t="shared" si="57"/>
        <v>8.6277842703572E-2</v>
      </c>
      <c r="S33" s="177">
        <f t="shared" si="57"/>
        <v>8.8450664893055364E-2</v>
      </c>
      <c r="T33" s="177">
        <f t="shared" si="57"/>
        <v>6.2940949930718498E-2</v>
      </c>
      <c r="U33" s="177">
        <f t="shared" si="57"/>
        <v>4.0567271477648652E-2</v>
      </c>
      <c r="V33" s="177">
        <f t="shared" si="57"/>
        <v>7.584591849993999E-2</v>
      </c>
      <c r="W33" s="177">
        <f t="shared" si="57"/>
        <v>7.8407903522832889E-2</v>
      </c>
      <c r="X33" s="177">
        <f t="shared" si="57"/>
        <v>6.857494652398019E-2</v>
      </c>
      <c r="Y33" s="177">
        <f t="shared" si="57"/>
        <v>7.0749996124184575E-2</v>
      </c>
      <c r="Z33" s="177">
        <f t="shared" si="57"/>
        <v>6.8240218242881401E-2</v>
      </c>
      <c r="AA33" s="177">
        <f t="shared" si="57"/>
        <v>5.6680049549053112E-2</v>
      </c>
      <c r="AB33" s="177">
        <f t="shared" si="57"/>
        <v>4.8140066275924723E-2</v>
      </c>
      <c r="AC33" s="177">
        <f t="shared" si="57"/>
        <v>5.6909840569962115E-2</v>
      </c>
      <c r="AD33" s="177">
        <f t="shared" si="57"/>
        <v>5.2105546161596995E-2</v>
      </c>
      <c r="AE33" s="177">
        <f t="shared" si="57"/>
        <v>5.524777404493849E-2</v>
      </c>
      <c r="AF33" s="177">
        <f t="shared" si="57"/>
        <v>4.411330126058742E-2</v>
      </c>
      <c r="AG33" s="177">
        <f t="shared" si="57"/>
        <v>5.1264351475365413E-2</v>
      </c>
      <c r="AH33" s="181"/>
      <c r="AI33" s="177">
        <f>AI41*AI4/AVERAGE(G44:I44)</f>
        <v>7.8523345301032069E-2</v>
      </c>
      <c r="AJ33" s="177">
        <f>AJ41*AJ4/AVERAGE(K44:M44)</f>
        <v>7.2927024617291045E-2</v>
      </c>
      <c r="AK33" s="177">
        <f>AK41*AK4/AVERAGE(O44:Q44)</f>
        <v>8.0579326749131555E-2</v>
      </c>
      <c r="AL33" s="177">
        <f>AL41*AL4/AVERAGE(S44:U44)</f>
        <v>5.1842025459673438E-2</v>
      </c>
      <c r="AM33" s="177">
        <f>AM41*AM4/AVERAGE(W44:Y44)</f>
        <v>6.9647503114728157E-2</v>
      </c>
      <c r="AN33" s="177">
        <f>AN41*AN4/AVERAGE(AA44:AC44)</f>
        <v>5.3017861036462242E-2</v>
      </c>
      <c r="AO33" s="177">
        <f>AO41*AO4/AVERAGE(AE44:AG44)</f>
        <v>4.7444840885586349E-2</v>
      </c>
      <c r="AP33" s="181"/>
      <c r="AQ33" s="177">
        <f>AQ41*AQ4/AVERAGE(G44:J44)</f>
        <v>7.9691055567554403E-2</v>
      </c>
      <c r="AR33" s="177">
        <f>AR41*AR4/AVERAGE(K44:N44)</f>
        <v>7.4405785955366038E-2</v>
      </c>
      <c r="AS33" s="177">
        <f>AS41*AS4/AVERAGE(O44:R44)</f>
        <v>8.3236466239844126E-2</v>
      </c>
      <c r="AT33" s="177">
        <f>AT41*AT4/AVERAGE(S44:V44)</f>
        <v>5.9135055935842409E-2</v>
      </c>
      <c r="AU33" s="177">
        <f>AU41*AU4/AVERAGE(W44:Z44)</f>
        <v>6.8366750369076093E-2</v>
      </c>
      <c r="AV33" s="177">
        <f>AV41*AV4/AVERAGE(AA44:AD44)</f>
        <v>5.299303252587928E-2</v>
      </c>
      <c r="AW33" s="181"/>
      <c r="AX33" s="177"/>
      <c r="AY33" s="177"/>
      <c r="AZ33" s="177">
        <f>AZ41*AZ4/AVERAGE(K44:O44)</f>
        <v>7.379861697840423E-2</v>
      </c>
      <c r="BA33" s="177">
        <f>BA41*BA4/AVERAGE(O44:S44)</f>
        <v>8.4468573439834091E-2</v>
      </c>
      <c r="BB33" s="177">
        <f>BB41*BB4/AVERAGE(S44:W44)</f>
        <v>6.3663023714249742E-2</v>
      </c>
      <c r="BC33" s="177">
        <f>BC41*BC4/AVERAGE(W44:AA44)</f>
        <v>6.4673939264486766E-2</v>
      </c>
      <c r="BD33" s="177">
        <f>BD41*BD4/AVERAGE(AA18:AE18)</f>
        <v>6.773500630120198E-2</v>
      </c>
    </row>
    <row r="34" spans="2:56" hidden="1" outlineLevel="1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5"/>
      <c r="AJ34" s="181"/>
      <c r="AK34" s="181"/>
      <c r="AL34" s="181"/>
      <c r="AM34" s="181"/>
      <c r="AN34" s="181"/>
      <c r="AO34" s="181"/>
      <c r="AP34" s="181"/>
      <c r="AQ34" s="185"/>
      <c r="AR34" s="181"/>
      <c r="AS34" s="181"/>
      <c r="AT34" s="181"/>
      <c r="AU34" s="181"/>
      <c r="AV34" s="181"/>
      <c r="AW34" s="181"/>
      <c r="AX34" s="181"/>
      <c r="AY34" s="181"/>
    </row>
    <row r="35" spans="2:56" hidden="1" outlineLevel="1" x14ac:dyDescent="0.2">
      <c r="B35" s="176" t="s">
        <v>485</v>
      </c>
      <c r="C35" s="179"/>
      <c r="D35" s="179"/>
      <c r="E35" s="179"/>
      <c r="F35" s="179"/>
      <c r="G35" s="179"/>
      <c r="H35" s="179">
        <v>5313</v>
      </c>
      <c r="I35" s="179">
        <v>6434</v>
      </c>
      <c r="J35" s="179">
        <v>6295</v>
      </c>
      <c r="K35" s="179">
        <v>6907</v>
      </c>
      <c r="L35" s="179">
        <v>5769</v>
      </c>
      <c r="M35" s="179">
        <v>5371</v>
      </c>
      <c r="N35" s="179">
        <v>7198</v>
      </c>
      <c r="O35" s="179">
        <v>5461</v>
      </c>
      <c r="P35" s="179">
        <f>Sovcombank!AG109</f>
        <v>5560</v>
      </c>
      <c r="Q35" s="179">
        <f>AK35-P35</f>
        <v>9233</v>
      </c>
      <c r="R35" s="179">
        <f>AS35-AK35</f>
        <v>9331</v>
      </c>
      <c r="S35" s="179">
        <f>BA35-AS35</f>
        <v>11359</v>
      </c>
      <c r="T35" s="179">
        <f>Sovcombank!AK109</f>
        <v>4089</v>
      </c>
      <c r="U35" s="179">
        <f>AL35-T35</f>
        <v>6149</v>
      </c>
      <c r="V35" s="179">
        <f>AT35-AL35</f>
        <v>7159</v>
      </c>
      <c r="W35" s="179">
        <f>BB35-AT35</f>
        <v>7413</v>
      </c>
      <c r="X35" s="179">
        <f>Sovcombank!AO109</f>
        <v>6299</v>
      </c>
      <c r="Y35" s="179">
        <f>AM35-X35</f>
        <v>6148</v>
      </c>
      <c r="Z35" s="179">
        <f>AU35-AM35</f>
        <v>7063</v>
      </c>
      <c r="AA35" s="179">
        <f>BC35-AU35</f>
        <v>7312</v>
      </c>
      <c r="AB35" s="179">
        <f>Sovcombank!AS109</f>
        <v>5389</v>
      </c>
      <c r="AC35" s="179">
        <f>AN35-AB35</f>
        <v>10284</v>
      </c>
      <c r="AD35" s="179">
        <f>AV35-AN35</f>
        <v>9632</v>
      </c>
      <c r="AE35" s="179">
        <f>BD35-AV35</f>
        <v>14146</v>
      </c>
      <c r="AF35" s="179">
        <f>Sovcombank!AW109</f>
        <v>8794</v>
      </c>
      <c r="AG35" s="179">
        <f>AO35-AF35</f>
        <v>11638</v>
      </c>
      <c r="AH35" s="181"/>
      <c r="AI35" s="179">
        <f>Sovcombank!$Z$109</f>
        <v>11747</v>
      </c>
      <c r="AJ35" s="179">
        <f>Sovcombank!AD109</f>
        <v>11140</v>
      </c>
      <c r="AK35" s="179">
        <f>Sovcombank!AH109</f>
        <v>14793</v>
      </c>
      <c r="AL35" s="179">
        <f>Sovcombank!AL109</f>
        <v>10238</v>
      </c>
      <c r="AM35" s="179">
        <f>Sovcombank!AP109</f>
        <v>12447</v>
      </c>
      <c r="AN35" s="179">
        <f>Sovcombank!AT109</f>
        <v>15673</v>
      </c>
      <c r="AO35" s="179">
        <f>Sovcombank!AX109</f>
        <v>20432</v>
      </c>
      <c r="AP35" s="181"/>
      <c r="AQ35" s="179">
        <f>Sovcombank!AA109</f>
        <v>18042</v>
      </c>
      <c r="AR35" s="179">
        <f>Sovcombank!AE109</f>
        <v>18338</v>
      </c>
      <c r="AS35" s="179">
        <f>Sovcombank!AI109</f>
        <v>24124</v>
      </c>
      <c r="AT35" s="179">
        <f>Sovcombank!AM109</f>
        <v>17397</v>
      </c>
      <c r="AU35" s="179">
        <f>Sovcombank!AQ109</f>
        <v>19510</v>
      </c>
      <c r="AV35" s="179">
        <f>Sovcombank!AU109</f>
        <v>25305</v>
      </c>
      <c r="AW35" s="181"/>
      <c r="AX35" s="179"/>
      <c r="AY35" s="179"/>
      <c r="AZ35" s="179">
        <f>Sovcombank!AF109</f>
        <v>23799</v>
      </c>
      <c r="BA35" s="179">
        <f>Sovcombank!AJ109</f>
        <v>35483</v>
      </c>
      <c r="BB35" s="179">
        <f>Sovcombank!AN109</f>
        <v>24810</v>
      </c>
      <c r="BC35" s="179">
        <f>Sovcombank!AR109</f>
        <v>26822</v>
      </c>
      <c r="BD35" s="179">
        <f>Sovcombank!AV109</f>
        <v>39451</v>
      </c>
    </row>
    <row r="36" spans="2:56" s="178" customFormat="1" hidden="1" outlineLevel="1" x14ac:dyDescent="0.2">
      <c r="B36" s="20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  <c r="AH36" s="182"/>
      <c r="AI36" s="322"/>
      <c r="AJ36" s="322"/>
      <c r="AK36" s="322"/>
      <c r="AL36" s="322"/>
      <c r="AM36" s="322"/>
      <c r="AN36" s="322"/>
      <c r="AO36" s="322"/>
      <c r="AP36" s="182"/>
      <c r="AQ36" s="322"/>
      <c r="AR36" s="322"/>
      <c r="AS36" s="322"/>
      <c r="AT36" s="322"/>
      <c r="AU36" s="322"/>
      <c r="AV36" s="322"/>
      <c r="AW36" s="182"/>
      <c r="AX36" s="322"/>
      <c r="AY36" s="322"/>
      <c r="AZ36" s="322"/>
      <c r="BA36" s="322"/>
      <c r="BB36" s="322"/>
      <c r="BC36" s="322"/>
      <c r="BD36" s="322"/>
    </row>
    <row r="37" spans="2:56" hidden="1" outlineLevel="1" x14ac:dyDescent="0.2">
      <c r="B37" s="224" t="s">
        <v>319</v>
      </c>
      <c r="C37" s="181"/>
      <c r="D37" s="181"/>
      <c r="E37" s="181"/>
      <c r="F37" s="181"/>
      <c r="G37" s="181"/>
      <c r="H37" s="185"/>
      <c r="I37" s="185"/>
      <c r="J37" s="185">
        <v>4871</v>
      </c>
      <c r="K37" s="185">
        <v>4341</v>
      </c>
      <c r="L37" s="185">
        <v>4139</v>
      </c>
      <c r="M37" s="185">
        <v>2715</v>
      </c>
      <c r="N37" s="185">
        <v>4518</v>
      </c>
      <c r="O37" s="185">
        <v>2377</v>
      </c>
      <c r="P37" s="185">
        <f>Sovcombank!AG461</f>
        <v>2761</v>
      </c>
      <c r="Q37" s="185">
        <f>AK37-P37</f>
        <v>7166</v>
      </c>
      <c r="R37" s="185">
        <f>AS37-AK37</f>
        <v>4967</v>
      </c>
      <c r="S37" s="185">
        <f>BA37-AS37</f>
        <v>6866</v>
      </c>
      <c r="T37" s="185">
        <f>Sovcombank!AK461</f>
        <v>589</v>
      </c>
      <c r="U37" s="185">
        <f>AL37-T37</f>
        <v>1508</v>
      </c>
      <c r="V37" s="185">
        <f t="shared" ref="V37:V41" si="58">AT37-AL37</f>
        <v>3943</v>
      </c>
      <c r="W37" s="185">
        <f t="shared" ref="W37:W41" si="59">BB37-AT37</f>
        <v>-2208</v>
      </c>
      <c r="X37" s="185">
        <f>Sovcombank!AO461</f>
        <v>895</v>
      </c>
      <c r="Y37" s="185">
        <f>AM37-X37</f>
        <v>2277</v>
      </c>
      <c r="Z37" s="185">
        <f t="shared" ref="Z37:Z41" si="60">AU37-AM37</f>
        <v>-1358</v>
      </c>
      <c r="AA37" s="185">
        <f t="shared" ref="AA37:AA41" si="61">BC37-AU37</f>
        <v>767</v>
      </c>
      <c r="AB37" s="185">
        <f>Sovcombank!AS461</f>
        <v>-739</v>
      </c>
      <c r="AC37" s="185">
        <f t="shared" ref="AC37:AC41" si="62">AN37-AB37</f>
        <v>1386</v>
      </c>
      <c r="AD37" s="185">
        <f t="shared" ref="AD37:AD41" si="63">AV37-AN37</f>
        <v>1989</v>
      </c>
      <c r="AE37" s="185">
        <f t="shared" ref="AE37:AE41" si="64">BD37-AV37</f>
        <v>3334</v>
      </c>
      <c r="AF37" s="185">
        <f>Sovcombank!AW461</f>
        <v>776</v>
      </c>
      <c r="AG37" s="185">
        <f>AO37-AF37</f>
        <v>38</v>
      </c>
      <c r="AH37" s="181"/>
      <c r="AI37" s="185">
        <f>Sovcombank!Z461</f>
        <v>7988</v>
      </c>
      <c r="AJ37" s="185">
        <f>Sovcombank!AD461</f>
        <v>6854</v>
      </c>
      <c r="AK37" s="185">
        <f>Sovcombank!AH461</f>
        <v>9927</v>
      </c>
      <c r="AL37" s="185">
        <f>Sovcombank!AL461</f>
        <v>2097</v>
      </c>
      <c r="AM37" s="185">
        <f>Sovcombank!AP461</f>
        <v>3172</v>
      </c>
      <c r="AN37" s="185">
        <f>Sovcombank!AT461</f>
        <v>647</v>
      </c>
      <c r="AO37" s="185">
        <f>Sovcombank!AX461</f>
        <v>814</v>
      </c>
      <c r="AP37" s="181"/>
      <c r="AQ37" s="185">
        <f>Sovcombank!AA461</f>
        <v>12859</v>
      </c>
      <c r="AR37" s="185">
        <f>Sovcombank!AE461</f>
        <v>11372</v>
      </c>
      <c r="AS37" s="185">
        <f>Sovcombank!AI461</f>
        <v>14894</v>
      </c>
      <c r="AT37" s="185">
        <f>Sovcombank!AM461</f>
        <v>6040</v>
      </c>
      <c r="AU37" s="185">
        <f>Sovcombank!AQ461</f>
        <v>1814</v>
      </c>
      <c r="AV37" s="185">
        <f>Sovcombank!AU461</f>
        <v>2636</v>
      </c>
      <c r="AW37" s="181"/>
      <c r="AX37" s="181"/>
      <c r="AY37" s="181"/>
      <c r="AZ37" s="185">
        <f>Sovcombank!AF461</f>
        <v>13749</v>
      </c>
      <c r="BA37" s="185">
        <f>Sovcombank!AJ461</f>
        <v>21760</v>
      </c>
      <c r="BB37" s="185">
        <f>Sovcombank!AN461</f>
        <v>3832</v>
      </c>
      <c r="BC37" s="185">
        <f>Sovcombank!AR461</f>
        <v>2581</v>
      </c>
      <c r="BD37" s="185">
        <f>Sovcombank!AV461</f>
        <v>5970</v>
      </c>
    </row>
    <row r="38" spans="2:56" hidden="1" outlineLevel="1" x14ac:dyDescent="0.2">
      <c r="B38" s="224" t="s">
        <v>320</v>
      </c>
      <c r="C38" s="181"/>
      <c r="D38" s="181"/>
      <c r="E38" s="181"/>
      <c r="F38" s="181"/>
      <c r="G38" s="181"/>
      <c r="H38" s="185"/>
      <c r="I38" s="185"/>
      <c r="J38" s="185">
        <v>1424</v>
      </c>
      <c r="K38" s="185">
        <v>2566</v>
      </c>
      <c r="L38" s="185">
        <v>1983</v>
      </c>
      <c r="M38" s="185">
        <v>2197</v>
      </c>
      <c r="N38" s="185">
        <v>2249</v>
      </c>
      <c r="O38" s="185">
        <v>2885</v>
      </c>
      <c r="P38" s="185">
        <f>Sovcombank!AG462</f>
        <v>2498</v>
      </c>
      <c r="Q38" s="185">
        <f>AK38-P38</f>
        <v>2863</v>
      </c>
      <c r="R38" s="185">
        <f>AS38-AK38</f>
        <v>3941</v>
      </c>
      <c r="S38" s="185">
        <f>BA38-AS38</f>
        <v>4173</v>
      </c>
      <c r="T38" s="185">
        <f>Sovcombank!AK462</f>
        <v>3786</v>
      </c>
      <c r="U38" s="185">
        <f>AL38-T38</f>
        <v>3578</v>
      </c>
      <c r="V38" s="185">
        <f>AT38-AL38</f>
        <v>3076</v>
      </c>
      <c r="W38" s="185">
        <f t="shared" si="59"/>
        <v>7589</v>
      </c>
      <c r="X38" s="185">
        <f>Sovcombank!AO462</f>
        <v>5157</v>
      </c>
      <c r="Y38" s="185">
        <f>AM38-X38</f>
        <v>3612</v>
      </c>
      <c r="Z38" s="185">
        <f t="shared" si="60"/>
        <v>9134</v>
      </c>
      <c r="AA38" s="185">
        <f t="shared" si="61"/>
        <v>6262</v>
      </c>
      <c r="AB38" s="185">
        <f>Sovcombank!AS462</f>
        <v>6800</v>
      </c>
      <c r="AC38" s="185">
        <f t="shared" si="62"/>
        <v>8687</v>
      </c>
      <c r="AD38" s="185">
        <f t="shared" si="63"/>
        <v>8471</v>
      </c>
      <c r="AE38" s="185">
        <f t="shared" si="64"/>
        <v>10734</v>
      </c>
      <c r="AF38" s="185">
        <f>Sovcombank!AW462</f>
        <v>9425</v>
      </c>
      <c r="AG38" s="185">
        <f t="shared" ref="AG38:AG39" si="65">AO38-AF38</f>
        <v>11210</v>
      </c>
      <c r="AH38" s="181"/>
      <c r="AI38" s="185">
        <f>Sovcombank!Z462+Sovcombank!Z463</f>
        <v>3759</v>
      </c>
      <c r="AJ38" s="185">
        <f>Sovcombank!AD462</f>
        <v>4180</v>
      </c>
      <c r="AK38" s="185">
        <f>Sovcombank!AH462</f>
        <v>5361</v>
      </c>
      <c r="AL38" s="185">
        <f>Sovcombank!AL462</f>
        <v>7364</v>
      </c>
      <c r="AM38" s="185">
        <f>Sovcombank!AP462</f>
        <v>8769</v>
      </c>
      <c r="AN38" s="185">
        <f>Sovcombank!AT462</f>
        <v>15487</v>
      </c>
      <c r="AO38" s="185">
        <f>Sovcombank!AX462</f>
        <v>20635</v>
      </c>
      <c r="AP38" s="184"/>
      <c r="AQ38" s="185">
        <f>Sovcombank!AA462+Sovcombank!AA463</f>
        <v>5183</v>
      </c>
      <c r="AR38" s="185">
        <f>Sovcombank!AE462</f>
        <v>6429</v>
      </c>
      <c r="AS38" s="185">
        <f>Sovcombank!AI462</f>
        <v>9302</v>
      </c>
      <c r="AT38" s="185">
        <f>Sovcombank!AM462</f>
        <v>10440</v>
      </c>
      <c r="AU38" s="185">
        <f>Sovcombank!AQ462</f>
        <v>17903</v>
      </c>
      <c r="AV38" s="185">
        <f>Sovcombank!AU462</f>
        <v>23958</v>
      </c>
      <c r="AW38" s="184"/>
      <c r="AX38" s="181"/>
      <c r="AY38" s="181"/>
      <c r="AZ38" s="185">
        <f>Sovcombank!AF462</f>
        <v>9314</v>
      </c>
      <c r="BA38" s="185">
        <f>Sovcombank!AJ462</f>
        <v>13475</v>
      </c>
      <c r="BB38" s="185">
        <f>Sovcombank!AN462</f>
        <v>18029</v>
      </c>
      <c r="BC38" s="185">
        <f>Sovcombank!AR462</f>
        <v>24165</v>
      </c>
      <c r="BD38" s="185">
        <f>Sovcombank!AV462</f>
        <v>34692</v>
      </c>
    </row>
    <row r="39" spans="2:56" hidden="1" outlineLevel="1" x14ac:dyDescent="0.2">
      <c r="B39" s="224" t="s">
        <v>321</v>
      </c>
      <c r="C39" s="181"/>
      <c r="D39" s="181"/>
      <c r="E39" s="181"/>
      <c r="F39" s="181"/>
      <c r="G39" s="181"/>
      <c r="H39" s="185"/>
      <c r="I39" s="185"/>
      <c r="J39" s="185"/>
      <c r="K39" s="185"/>
      <c r="L39" s="185">
        <v>-105</v>
      </c>
      <c r="M39" s="185">
        <v>211</v>
      </c>
      <c r="N39" s="185">
        <v>431</v>
      </c>
      <c r="O39" s="185">
        <v>199</v>
      </c>
      <c r="P39" s="185">
        <f>Sovcombank!AG463</f>
        <v>301</v>
      </c>
      <c r="Q39" s="185">
        <f>AK39-P39</f>
        <v>-796</v>
      </c>
      <c r="R39" s="185">
        <f>AS39-AK39</f>
        <v>423</v>
      </c>
      <c r="S39" s="185">
        <f>BA39-AS39</f>
        <v>320</v>
      </c>
      <c r="T39" s="185">
        <f>Sovcombank!AK463</f>
        <v>-286</v>
      </c>
      <c r="U39" s="185">
        <f>AL39-T39</f>
        <v>1063</v>
      </c>
      <c r="V39" s="185">
        <f t="shared" si="58"/>
        <v>140</v>
      </c>
      <c r="W39" s="185">
        <f t="shared" si="59"/>
        <v>2032</v>
      </c>
      <c r="X39" s="185">
        <f>Sovcombank!AO463</f>
        <v>247</v>
      </c>
      <c r="Y39" s="185">
        <f>AM39-X39</f>
        <v>259</v>
      </c>
      <c r="Z39" s="185">
        <f t="shared" si="60"/>
        <v>-713</v>
      </c>
      <c r="AA39" s="185">
        <f t="shared" si="61"/>
        <v>283</v>
      </c>
      <c r="AB39" s="185">
        <f>Sovcombank!AS463</f>
        <v>-672</v>
      </c>
      <c r="AC39" s="185">
        <f t="shared" si="62"/>
        <v>211</v>
      </c>
      <c r="AD39" s="185">
        <f t="shared" si="63"/>
        <v>-828</v>
      </c>
      <c r="AE39" s="185">
        <f t="shared" si="64"/>
        <v>78</v>
      </c>
      <c r="AF39" s="185">
        <f>Sovcombank!AW463</f>
        <v>-1407</v>
      </c>
      <c r="AG39" s="185">
        <f t="shared" si="65"/>
        <v>390</v>
      </c>
      <c r="AH39" s="181"/>
      <c r="AI39" s="185"/>
      <c r="AJ39" s="185">
        <f>+Sovcombank!AD463</f>
        <v>106</v>
      </c>
      <c r="AK39" s="185">
        <f>Sovcombank!AH463</f>
        <v>-495</v>
      </c>
      <c r="AL39" s="185">
        <f>Sovcombank!AL463</f>
        <v>777</v>
      </c>
      <c r="AM39" s="185">
        <f>Sovcombank!AP463</f>
        <v>506</v>
      </c>
      <c r="AN39" s="185">
        <f>Sovcombank!AT463</f>
        <v>-461</v>
      </c>
      <c r="AO39" s="185">
        <f>Sovcombank!AX463</f>
        <v>-1017</v>
      </c>
      <c r="AP39" s="259"/>
      <c r="AQ39" s="185"/>
      <c r="AR39" s="185">
        <f>Sovcombank!AE463</f>
        <v>537</v>
      </c>
      <c r="AS39" s="185">
        <f>Sovcombank!AI463</f>
        <v>-72</v>
      </c>
      <c r="AT39" s="185">
        <f>Sovcombank!AM463</f>
        <v>917</v>
      </c>
      <c r="AU39" s="185">
        <f>Sovcombank!AQ463</f>
        <v>-207</v>
      </c>
      <c r="AV39" s="185">
        <f>Sovcombank!AU463</f>
        <v>-1289</v>
      </c>
      <c r="AW39" s="259"/>
      <c r="AX39" s="181"/>
      <c r="AY39" s="181"/>
      <c r="AZ39" s="185">
        <f>Sovcombank!AF463</f>
        <v>736</v>
      </c>
      <c r="BA39" s="185">
        <f>Sovcombank!AJ463</f>
        <v>248</v>
      </c>
      <c r="BB39" s="185">
        <f>Sovcombank!AN463</f>
        <v>2949</v>
      </c>
      <c r="BC39" s="185">
        <f>Sovcombank!AR463</f>
        <v>76</v>
      </c>
      <c r="BD39" s="185">
        <f>Sovcombank!AV463</f>
        <v>-1211</v>
      </c>
    </row>
    <row r="40" spans="2:56" hidden="1" outlineLevel="1" x14ac:dyDescent="0.2">
      <c r="B40" s="224"/>
      <c r="C40" s="181"/>
      <c r="D40" s="181"/>
      <c r="E40" s="181"/>
      <c r="F40" s="181"/>
      <c r="G40" s="181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1"/>
      <c r="AI40" s="185"/>
      <c r="AJ40" s="185"/>
      <c r="AK40" s="185"/>
      <c r="AL40" s="185"/>
      <c r="AM40" s="185"/>
      <c r="AN40" s="185"/>
      <c r="AO40" s="185"/>
      <c r="AP40" s="259"/>
      <c r="AQ40" s="185"/>
      <c r="AR40" s="185"/>
      <c r="AS40" s="185"/>
      <c r="AT40" s="185"/>
      <c r="AU40" s="185"/>
      <c r="AV40" s="185"/>
      <c r="AW40" s="259"/>
      <c r="AX40" s="181"/>
      <c r="AY40" s="181"/>
      <c r="AZ40" s="185"/>
      <c r="BA40" s="185"/>
      <c r="BB40" s="185"/>
      <c r="BC40" s="185"/>
      <c r="BD40" s="185"/>
    </row>
    <row r="41" spans="2:56" hidden="1" outlineLevel="1" x14ac:dyDescent="0.2">
      <c r="B41" s="181" t="s">
        <v>327</v>
      </c>
      <c r="C41" s="185"/>
      <c r="D41" s="185"/>
      <c r="E41" s="185"/>
      <c r="F41" s="185"/>
      <c r="G41" s="185"/>
      <c r="H41" s="185">
        <f t="shared" ref="H41:P41" si="66">H12+H35</f>
        <v>18414</v>
      </c>
      <c r="I41" s="185">
        <f t="shared" si="66"/>
        <v>19481</v>
      </c>
      <c r="J41" s="185">
        <f t="shared" si="66"/>
        <v>20357</v>
      </c>
      <c r="K41" s="185">
        <f t="shared" si="66"/>
        <v>21767</v>
      </c>
      <c r="L41" s="185">
        <f t="shared" si="66"/>
        <v>23646</v>
      </c>
      <c r="M41" s="185">
        <f t="shared" si="66"/>
        <v>24612</v>
      </c>
      <c r="N41" s="185">
        <f t="shared" si="66"/>
        <v>28982</v>
      </c>
      <c r="O41" s="185">
        <f t="shared" si="66"/>
        <v>26371</v>
      </c>
      <c r="P41" s="185">
        <f t="shared" si="66"/>
        <v>27379</v>
      </c>
      <c r="Q41" s="185">
        <f>AK41-P41</f>
        <v>39064</v>
      </c>
      <c r="R41" s="185">
        <f>AS41-AK41</f>
        <v>40632</v>
      </c>
      <c r="S41" s="185">
        <f>BA41-AS41</f>
        <v>44501</v>
      </c>
      <c r="T41" s="185">
        <f>T12+T35</f>
        <v>31706</v>
      </c>
      <c r="U41" s="185">
        <f>AL41-T41</f>
        <v>19124</v>
      </c>
      <c r="V41" s="185">
        <f t="shared" si="58"/>
        <v>36262</v>
      </c>
      <c r="W41" s="185">
        <f t="shared" si="59"/>
        <v>40746</v>
      </c>
      <c r="X41" s="185">
        <f>X12+X35</f>
        <v>38206</v>
      </c>
      <c r="Y41" s="185">
        <f>Y12+Y35</f>
        <v>41072</v>
      </c>
      <c r="Z41" s="185">
        <f t="shared" si="60"/>
        <v>44041</v>
      </c>
      <c r="AA41" s="185">
        <f t="shared" si="61"/>
        <v>42365</v>
      </c>
      <c r="AB41" s="185">
        <f>AB12+AB35</f>
        <v>40943</v>
      </c>
      <c r="AC41" s="185">
        <f t="shared" si="62"/>
        <v>52712</v>
      </c>
      <c r="AD41" s="185">
        <f t="shared" si="63"/>
        <v>49566</v>
      </c>
      <c r="AE41" s="185">
        <f t="shared" si="64"/>
        <v>54291</v>
      </c>
      <c r="AF41" s="185">
        <f>AF12+AF35</f>
        <v>43682</v>
      </c>
      <c r="AG41" s="185">
        <f>AG12+AG35</f>
        <v>49943</v>
      </c>
      <c r="AH41" s="181"/>
      <c r="AI41" s="185">
        <f t="shared" ref="AI41:AO41" si="67">AI12+AI35</f>
        <v>37895</v>
      </c>
      <c r="AJ41" s="185">
        <f t="shared" si="67"/>
        <v>48258</v>
      </c>
      <c r="AK41" s="185">
        <f t="shared" si="67"/>
        <v>66443</v>
      </c>
      <c r="AL41" s="185">
        <f t="shared" si="67"/>
        <v>50830</v>
      </c>
      <c r="AM41" s="185">
        <f t="shared" si="67"/>
        <v>79278</v>
      </c>
      <c r="AN41" s="185">
        <f t="shared" si="67"/>
        <v>93655</v>
      </c>
      <c r="AO41" s="185">
        <f t="shared" si="67"/>
        <v>93625</v>
      </c>
      <c r="AP41" s="181"/>
      <c r="AQ41" s="185">
        <f t="shared" ref="AQ41:AV41" si="68">AQ12+AQ35</f>
        <v>58252</v>
      </c>
      <c r="AR41" s="185">
        <f t="shared" si="68"/>
        <v>77240</v>
      </c>
      <c r="AS41" s="185">
        <f t="shared" si="68"/>
        <v>107075</v>
      </c>
      <c r="AT41" s="185">
        <f t="shared" si="68"/>
        <v>87092</v>
      </c>
      <c r="AU41" s="185">
        <f t="shared" si="68"/>
        <v>123319</v>
      </c>
      <c r="AV41" s="185">
        <f t="shared" si="68"/>
        <v>143221</v>
      </c>
      <c r="AW41" s="181"/>
      <c r="AX41" s="181"/>
      <c r="AY41" s="181"/>
      <c r="AZ41" s="185">
        <f>AZ12+AZ35</f>
        <v>103611</v>
      </c>
      <c r="BA41" s="185">
        <f>BA12+BA35</f>
        <v>151576</v>
      </c>
      <c r="BB41" s="185">
        <f>BB12+BB35</f>
        <v>127838</v>
      </c>
      <c r="BC41" s="185">
        <f>BC12+BC35</f>
        <v>165684</v>
      </c>
      <c r="BD41" s="185">
        <f>BD12+BD35</f>
        <v>197512</v>
      </c>
    </row>
    <row r="42" spans="2:56" hidden="1" outlineLevel="1" x14ac:dyDescent="0.2">
      <c r="B42" s="181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1"/>
      <c r="AI42" s="185"/>
      <c r="AJ42" s="185"/>
      <c r="AK42" s="185"/>
      <c r="AL42" s="185"/>
      <c r="AM42" s="185"/>
      <c r="AN42" s="185"/>
      <c r="AO42" s="185"/>
      <c r="AP42" s="181"/>
      <c r="AQ42" s="185"/>
      <c r="AR42" s="185"/>
      <c r="AS42" s="185"/>
      <c r="AT42" s="185"/>
      <c r="AU42" s="185"/>
      <c r="AV42" s="185"/>
      <c r="AW42" s="181"/>
      <c r="AX42" s="181"/>
      <c r="AY42" s="181"/>
      <c r="AZ42" s="185"/>
      <c r="BA42" s="185"/>
      <c r="BB42" s="185"/>
      <c r="BC42" s="185"/>
      <c r="BD42" s="185"/>
    </row>
    <row r="43" spans="2:56" hidden="1" outlineLevel="1" x14ac:dyDescent="0.2">
      <c r="B43" s="181"/>
      <c r="C43" s="181"/>
      <c r="D43" s="181"/>
      <c r="E43" s="181"/>
      <c r="F43" s="181"/>
      <c r="G43" s="181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1"/>
      <c r="AI43" s="185"/>
      <c r="AJ43" s="185"/>
      <c r="AK43" s="185"/>
      <c r="AL43" s="185"/>
      <c r="AM43" s="185"/>
      <c r="AN43" s="185"/>
      <c r="AO43" s="185"/>
      <c r="AP43" s="181"/>
      <c r="AQ43" s="185"/>
      <c r="AR43" s="185"/>
      <c r="AS43" s="185"/>
      <c r="AT43" s="185"/>
      <c r="AU43" s="185"/>
      <c r="AV43" s="185"/>
      <c r="AW43" s="181"/>
      <c r="AX43" s="181"/>
      <c r="AY43" s="181"/>
      <c r="AZ43" s="185"/>
      <c r="BA43" s="185"/>
      <c r="BB43" s="185"/>
      <c r="BC43" s="185"/>
      <c r="BD43" s="185"/>
    </row>
    <row r="44" spans="2:56" hidden="1" outlineLevel="1" x14ac:dyDescent="0.2">
      <c r="B44" s="181" t="s">
        <v>234</v>
      </c>
      <c r="C44" s="185"/>
      <c r="D44" s="185"/>
      <c r="E44" s="185"/>
      <c r="F44" s="185"/>
      <c r="G44" s="185">
        <f>Sovcombank!X35</f>
        <v>967404</v>
      </c>
      <c r="H44" s="185">
        <f>Sovcombank!Y35</f>
        <v>952470</v>
      </c>
      <c r="I44" s="185">
        <f>Sovcombank!Z35</f>
        <v>975698</v>
      </c>
      <c r="J44" s="185">
        <f>Sovcombank!AA35</f>
        <v>1002950</v>
      </c>
      <c r="K44" s="185">
        <f>Sovcombank!AB35</f>
        <v>1135194</v>
      </c>
      <c r="L44" s="185">
        <f>Sovcombank!AC35</f>
        <v>1327943</v>
      </c>
      <c r="M44" s="185">
        <f>Sovcombank!AD35</f>
        <v>1507243</v>
      </c>
      <c r="N44" s="185">
        <f>Sovcombank!AE35</f>
        <v>1566107</v>
      </c>
      <c r="O44" s="185">
        <f>Sovcombank!AF35</f>
        <v>1483360</v>
      </c>
      <c r="P44" s="185">
        <f>Sovcombank!AG35</f>
        <v>1609866</v>
      </c>
      <c r="Q44" s="185">
        <f>Sovcombank!AH35</f>
        <v>1854172</v>
      </c>
      <c r="R44" s="185">
        <f>Sovcombank!AI35</f>
        <v>1913377</v>
      </c>
      <c r="S44" s="185">
        <f>Sovcombank!AJ35</f>
        <v>2111556</v>
      </c>
      <c r="T44" s="185">
        <f>Sovcombank!AK35</f>
        <v>1918380</v>
      </c>
      <c r="U44" s="185">
        <f>Sovcombank!AL35</f>
        <v>1852936</v>
      </c>
      <c r="V44" s="185">
        <f>Sovcombank!AM35</f>
        <v>1971871</v>
      </c>
      <c r="W44" s="185">
        <f>Sovcombank!AN35</f>
        <v>2185465</v>
      </c>
      <c r="X44" s="185">
        <f>Sovcombank!AO35</f>
        <v>2271673</v>
      </c>
      <c r="Y44" s="185">
        <f>Sovcombank!AP35</f>
        <v>2372511</v>
      </c>
      <c r="Z44" s="185">
        <f>Sovcombank!AQ35</f>
        <v>2790544</v>
      </c>
      <c r="AA44" s="185">
        <f>Sovcombank!AR35</f>
        <v>3188985</v>
      </c>
      <c r="AB44" s="185">
        <f>Sovcombank!AS35</f>
        <v>3614994</v>
      </c>
      <c r="AC44" s="185">
        <f>Sovcombank!AT35</f>
        <v>3794902</v>
      </c>
      <c r="AD44" s="185">
        <f>Sovcombank!AU35</f>
        <v>3815190</v>
      </c>
      <c r="AE44" s="185">
        <f>Sovcombank!AV35</f>
        <v>4046267</v>
      </c>
      <c r="AF44" s="185">
        <f>Sovcombank!AW35</f>
        <v>3875516</v>
      </c>
      <c r="AG44" s="185">
        <f>Sovcombank!AX35</f>
        <v>3918282</v>
      </c>
      <c r="AH44" s="181"/>
      <c r="AI44" s="185"/>
      <c r="AJ44" s="185"/>
      <c r="AK44" s="185"/>
      <c r="AL44" s="185"/>
      <c r="AM44" s="185"/>
      <c r="AN44" s="185"/>
      <c r="AO44" s="185"/>
      <c r="AP44" s="181"/>
      <c r="AQ44" s="185"/>
      <c r="AR44" s="185"/>
      <c r="AS44" s="185"/>
      <c r="AT44" s="185"/>
      <c r="AU44" s="185"/>
      <c r="AV44" s="185"/>
      <c r="AW44" s="181"/>
      <c r="AX44" s="181"/>
      <c r="AY44" s="181"/>
    </row>
    <row r="45" spans="2:56" hidden="1" outlineLevel="1" x14ac:dyDescent="0.2">
      <c r="B45" s="224" t="s">
        <v>319</v>
      </c>
      <c r="C45" s="181"/>
      <c r="D45" s="181"/>
      <c r="E45" s="181"/>
      <c r="F45" s="181"/>
      <c r="G45" s="181"/>
      <c r="H45" s="181"/>
      <c r="I45" s="181"/>
      <c r="J45" s="181"/>
      <c r="K45" s="185">
        <f>Sovcombank!AB433</f>
        <v>289783</v>
      </c>
      <c r="L45" s="185">
        <f>Sovcombank!AC433</f>
        <v>307253</v>
      </c>
      <c r="M45" s="185">
        <f>Sovcombank!AD433</f>
        <v>302663</v>
      </c>
      <c r="N45" s="185">
        <f>Sovcombank!AE433</f>
        <v>322880</v>
      </c>
      <c r="O45" s="185">
        <f>Sovcombank!AF433</f>
        <v>337033</v>
      </c>
      <c r="P45" s="185">
        <f>Sovcombank!AG433</f>
        <v>385586</v>
      </c>
      <c r="Q45" s="185">
        <f>Sovcombank!AH433</f>
        <v>534492</v>
      </c>
      <c r="R45" s="185">
        <f>Sovcombank!AI433</f>
        <v>591506</v>
      </c>
      <c r="S45" s="185">
        <f>Sovcombank!AJ433</f>
        <v>679383</v>
      </c>
      <c r="T45" s="185">
        <f>Sovcombank!AK433</f>
        <v>670249</v>
      </c>
      <c r="U45" s="185">
        <f>Sovcombank!AL433</f>
        <v>646072</v>
      </c>
      <c r="V45" s="185">
        <f>Sovcombank!AM433</f>
        <v>695551</v>
      </c>
      <c r="W45" s="185">
        <f>Sovcombank!AN433</f>
        <v>682802</v>
      </c>
      <c r="X45" s="185">
        <f>Sovcombank!AO433</f>
        <v>737397</v>
      </c>
      <c r="Y45" s="185">
        <f>Sovcombank!AP433</f>
        <v>821962</v>
      </c>
      <c r="Z45" s="185">
        <f>Sovcombank!AQ433</f>
        <v>908732</v>
      </c>
      <c r="AA45" s="185">
        <f>Sovcombank!AR433</f>
        <v>993250</v>
      </c>
      <c r="AB45" s="185">
        <f>Sovcombank!AS433</f>
        <v>1260871</v>
      </c>
      <c r="AC45" s="185">
        <f>Sovcombank!AT433</f>
        <v>1349721</v>
      </c>
      <c r="AD45" s="185">
        <f>Sovcombank!AU433</f>
        <v>1435065</v>
      </c>
      <c r="AE45" s="185">
        <f>Sovcombank!AV433</f>
        <v>1677919</v>
      </c>
      <c r="AF45" s="185">
        <f>Sovcombank!AW433</f>
        <v>1746188</v>
      </c>
      <c r="AG45" s="185">
        <f>Sovcombank!AX433</f>
        <v>1718424</v>
      </c>
      <c r="AH45" s="181"/>
      <c r="AI45" s="181"/>
      <c r="AJ45" s="185"/>
      <c r="AK45" s="185"/>
      <c r="AL45" s="185"/>
      <c r="AM45" s="185"/>
      <c r="AN45" s="185"/>
      <c r="AO45" s="185"/>
      <c r="AP45" s="184"/>
      <c r="AQ45" s="181"/>
      <c r="AR45" s="185"/>
      <c r="AS45" s="185"/>
      <c r="AT45" s="185"/>
      <c r="AU45" s="185"/>
      <c r="AV45" s="185"/>
      <c r="AW45" s="184"/>
      <c r="AX45" s="181"/>
      <c r="AY45" s="181"/>
    </row>
    <row r="46" spans="2:56" hidden="1" outlineLevel="1" x14ac:dyDescent="0.2">
      <c r="B46" s="224" t="s">
        <v>320</v>
      </c>
      <c r="C46" s="181"/>
      <c r="D46" s="181"/>
      <c r="E46" s="181"/>
      <c r="F46" s="181"/>
      <c r="G46" s="181"/>
      <c r="H46" s="181"/>
      <c r="I46" s="181"/>
      <c r="J46" s="181"/>
      <c r="K46" s="185">
        <f>Sovcombank!AB434</f>
        <v>278222</v>
      </c>
      <c r="L46" s="185">
        <f>Sovcombank!AC434</f>
        <v>340281</v>
      </c>
      <c r="M46" s="185">
        <f>Sovcombank!AD434</f>
        <v>409829</v>
      </c>
      <c r="N46" s="185">
        <f>Sovcombank!AE434</f>
        <v>365516</v>
      </c>
      <c r="O46" s="185">
        <f>Sovcombank!AF434</f>
        <v>417706</v>
      </c>
      <c r="P46" s="185">
        <f>Sovcombank!AG434</f>
        <v>548498</v>
      </c>
      <c r="Q46" s="185">
        <f>Sovcombank!AH434</f>
        <v>646287</v>
      </c>
      <c r="R46" s="185">
        <f>Sovcombank!AI434</f>
        <v>658866</v>
      </c>
      <c r="S46" s="185">
        <f>Sovcombank!AJ434</f>
        <v>730120</v>
      </c>
      <c r="T46" s="185">
        <f>Sovcombank!AK434</f>
        <v>705820</v>
      </c>
      <c r="U46" s="185">
        <f>Sovcombank!AL434</f>
        <v>663967</v>
      </c>
      <c r="V46" s="185">
        <f>Sovcombank!AM434</f>
        <v>790385</v>
      </c>
      <c r="W46" s="185">
        <f>Sovcombank!AN434</f>
        <v>876302</v>
      </c>
      <c r="X46" s="185">
        <f>Sovcombank!AO434</f>
        <v>962182</v>
      </c>
      <c r="Y46" s="185">
        <f>Sovcombank!AP434</f>
        <v>1006256</v>
      </c>
      <c r="Z46" s="185">
        <f>Sovcombank!AQ434</f>
        <v>1081540</v>
      </c>
      <c r="AA46" s="185">
        <f>Sovcombank!AR434</f>
        <v>1234945</v>
      </c>
      <c r="AB46" s="185">
        <f>Sovcombank!AS434</f>
        <v>1291105</v>
      </c>
      <c r="AC46" s="185">
        <f>Sovcombank!AT434</f>
        <v>1410165</v>
      </c>
      <c r="AD46" s="185">
        <f>Sovcombank!AU434</f>
        <v>1392600</v>
      </c>
      <c r="AE46" s="185">
        <f>Sovcombank!AV434</f>
        <v>1415462</v>
      </c>
      <c r="AF46" s="185">
        <f>Sovcombank!AW434</f>
        <v>1346182</v>
      </c>
      <c r="AG46" s="185">
        <f>Sovcombank!AX434</f>
        <v>1511545</v>
      </c>
      <c r="AH46" s="181"/>
      <c r="AI46" s="181"/>
      <c r="AJ46" s="185"/>
      <c r="AK46" s="185"/>
      <c r="AL46" s="185"/>
      <c r="AM46" s="185"/>
      <c r="AN46" s="185"/>
      <c r="AO46" s="185"/>
      <c r="AP46" s="184"/>
      <c r="AQ46" s="181"/>
      <c r="AR46" s="185"/>
      <c r="AS46" s="185"/>
      <c r="AT46" s="185"/>
      <c r="AU46" s="185"/>
      <c r="AV46" s="185"/>
      <c r="AW46" s="184"/>
      <c r="AX46" s="181"/>
      <c r="AY46" s="181"/>
    </row>
    <row r="47" spans="2:56" hidden="1" outlineLevel="1" x14ac:dyDescent="0.2">
      <c r="B47" s="224" t="s">
        <v>321</v>
      </c>
      <c r="C47" s="181"/>
      <c r="D47" s="181"/>
      <c r="E47" s="181"/>
      <c r="F47" s="181"/>
      <c r="G47" s="181"/>
      <c r="H47" s="181"/>
      <c r="I47" s="181"/>
      <c r="J47" s="181"/>
      <c r="K47" s="185">
        <f>Sovcombank!AB435</f>
        <v>567189</v>
      </c>
      <c r="L47" s="185">
        <f>Sovcombank!AC435</f>
        <v>680409</v>
      </c>
      <c r="M47" s="185">
        <f>Sovcombank!AD435</f>
        <v>794751</v>
      </c>
      <c r="N47" s="185">
        <f>Sovcombank!AE435</f>
        <v>877711</v>
      </c>
      <c r="O47" s="185">
        <f>Sovcombank!AF435</f>
        <v>728621</v>
      </c>
      <c r="P47" s="185">
        <f>Sovcombank!AG435</f>
        <v>675782</v>
      </c>
      <c r="Q47" s="185">
        <f>Sovcombank!AH435</f>
        <v>673393</v>
      </c>
      <c r="R47" s="185">
        <f>Sovcombank!AI435</f>
        <v>663005</v>
      </c>
      <c r="S47" s="185">
        <f>Sovcombank!AJ435</f>
        <v>702053</v>
      </c>
      <c r="T47" s="185">
        <f>Sovcombank!AK435</f>
        <v>542311</v>
      </c>
      <c r="U47" s="185">
        <f>Sovcombank!AL435</f>
        <v>542897</v>
      </c>
      <c r="V47" s="185">
        <f>Sovcombank!AM435</f>
        <v>485935</v>
      </c>
      <c r="W47" s="185">
        <f>Sovcombank!AN435</f>
        <v>626361</v>
      </c>
      <c r="X47" s="185">
        <f>Sovcombank!AO435</f>
        <v>572094</v>
      </c>
      <c r="Y47" s="185">
        <f>Sovcombank!AP435</f>
        <v>544293</v>
      </c>
      <c r="Z47" s="185">
        <f>Sovcombank!AQ435</f>
        <v>800272</v>
      </c>
      <c r="AA47" s="185">
        <f>Sovcombank!AR435</f>
        <v>960790</v>
      </c>
      <c r="AB47" s="185">
        <f>Sovcombank!AS435</f>
        <v>1063018</v>
      </c>
      <c r="AC47" s="185">
        <f>Sovcombank!AT435</f>
        <v>1035016</v>
      </c>
      <c r="AD47" s="185">
        <f>Sovcombank!AU435</f>
        <v>987525</v>
      </c>
      <c r="AE47" s="185">
        <f>Sovcombank!AV435</f>
        <v>952886</v>
      </c>
      <c r="AF47" s="185">
        <f>Sovcombank!AW435</f>
        <v>783146</v>
      </c>
      <c r="AG47" s="185">
        <f>Sovcombank!AX435</f>
        <v>688313</v>
      </c>
      <c r="AH47" s="181"/>
      <c r="AI47" s="181"/>
      <c r="AJ47" s="185"/>
      <c r="AK47" s="185"/>
      <c r="AL47" s="185"/>
      <c r="AM47" s="185"/>
      <c r="AN47" s="185"/>
      <c r="AO47" s="185"/>
      <c r="AP47" s="184"/>
      <c r="AQ47" s="181"/>
      <c r="AR47" s="185"/>
      <c r="AS47" s="185"/>
      <c r="AT47" s="185"/>
      <c r="AU47" s="185"/>
      <c r="AV47" s="185"/>
      <c r="AW47" s="184"/>
      <c r="AX47" s="181"/>
      <c r="AY47" s="181"/>
    </row>
    <row r="48" spans="2:56" collapsed="1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</sheetPr>
  <dimension ref="A1:AZ59"/>
  <sheetViews>
    <sheetView zoomScale="80" zoomScaleNormal="80" workbookViewId="0">
      <pane xSplit="2" ySplit="4" topLeftCell="W5" activePane="bottomRight" state="frozen"/>
      <selection pane="topRight" activeCell="C1" sqref="C1"/>
      <selection pane="bottomLeft" activeCell="A5" sqref="A5"/>
      <selection pane="bottomRight" activeCell="AK3" sqref="AK3"/>
    </sheetView>
  </sheetViews>
  <sheetFormatPr defaultRowHeight="11.25" outlineLevelCol="1" x14ac:dyDescent="0.2"/>
  <cols>
    <col min="1" max="1" width="2.6640625" style="167" customWidth="1"/>
    <col min="2" max="2" width="65.83203125" bestFit="1" customWidth="1"/>
    <col min="3" max="4" width="12.6640625" hidden="1" customWidth="1" outlineLevel="1"/>
    <col min="5" max="5" width="12.6640625" hidden="1" customWidth="1" outlineLevel="1" collapsed="1"/>
    <col min="6" max="7" width="12.6640625" hidden="1" customWidth="1" outlineLevel="1"/>
    <col min="8" max="8" width="12.6640625" hidden="1" customWidth="1" outlineLevel="1" collapsed="1"/>
    <col min="9" max="11" width="12.6640625" hidden="1" customWidth="1" outlineLevel="1"/>
    <col min="12" max="12" width="12.6640625" hidden="1" customWidth="1" outlineLevel="1" collapsed="1"/>
    <col min="13" max="22" width="12.6640625" hidden="1" customWidth="1" outlineLevel="1"/>
    <col min="23" max="23" width="12.6640625" customWidth="1" collapsed="1"/>
    <col min="24" max="29" width="12.6640625" customWidth="1"/>
    <col min="30" max="30" width="5.83203125" customWidth="1"/>
    <col min="31" max="34" width="12.6640625" hidden="1" customWidth="1" outlineLevel="1"/>
    <col min="35" max="35" width="12.6640625" customWidth="1" collapsed="1"/>
    <col min="36" max="37" width="12.6640625" customWidth="1"/>
    <col min="38" max="38" width="6.5" bestFit="1" customWidth="1"/>
    <col min="39" max="42" width="12.6640625" hidden="1" customWidth="1" outlineLevel="1"/>
    <col min="43" max="43" width="12.6640625" customWidth="1" collapsed="1"/>
    <col min="44" max="44" width="12.6640625" customWidth="1"/>
    <col min="45" max="45" width="5.83203125" style="229" customWidth="1"/>
    <col min="46" max="49" width="12.6640625" hidden="1" customWidth="1" outlineLevel="1"/>
    <col min="50" max="50" width="12.6640625" customWidth="1" collapsed="1"/>
    <col min="51" max="51" width="12.6640625" customWidth="1"/>
  </cols>
  <sheetData>
    <row r="1" spans="1:52" ht="15" x14ac:dyDescent="0.2"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E1" s="189"/>
      <c r="AF1" s="189"/>
      <c r="AG1" s="189"/>
      <c r="AH1" s="189"/>
      <c r="AI1" s="189"/>
      <c r="AJ1" s="189"/>
      <c r="AK1" s="189"/>
      <c r="AM1" s="189"/>
      <c r="AN1" s="189"/>
      <c r="AO1" s="189"/>
      <c r="AP1" s="189"/>
      <c r="AQ1" s="189"/>
      <c r="AR1" s="189"/>
      <c r="AT1" s="189"/>
      <c r="AU1" s="189"/>
      <c r="AV1" s="189"/>
      <c r="AW1" s="189"/>
      <c r="AX1" s="189"/>
      <c r="AY1" s="189"/>
    </row>
    <row r="2" spans="1:52" x14ac:dyDescent="0.2">
      <c r="B2" s="190"/>
      <c r="C2" s="191" t="s">
        <v>1</v>
      </c>
      <c r="D2" s="191" t="s">
        <v>1</v>
      </c>
      <c r="E2" s="192" t="s">
        <v>1</v>
      </c>
      <c r="F2" s="191" t="s">
        <v>1</v>
      </c>
      <c r="G2" s="191" t="s">
        <v>1</v>
      </c>
      <c r="H2" s="191" t="s">
        <v>1</v>
      </c>
      <c r="I2" s="192" t="s">
        <v>1</v>
      </c>
      <c r="J2" s="192" t="s">
        <v>1</v>
      </c>
      <c r="K2" s="191" t="s">
        <v>1</v>
      </c>
      <c r="L2" s="191" t="s">
        <v>1</v>
      </c>
      <c r="M2" s="192" t="s">
        <v>1</v>
      </c>
      <c r="N2" s="192" t="s">
        <v>1</v>
      </c>
      <c r="O2" s="192" t="s">
        <v>1</v>
      </c>
      <c r="P2" s="192" t="s">
        <v>1</v>
      </c>
      <c r="Q2" s="192" t="s">
        <v>1</v>
      </c>
      <c r="R2" s="192" t="s">
        <v>1</v>
      </c>
      <c r="S2" s="192" t="s">
        <v>1</v>
      </c>
      <c r="T2" s="192" t="s">
        <v>1</v>
      </c>
      <c r="U2" s="192" t="s">
        <v>1</v>
      </c>
      <c r="V2" s="192" t="s">
        <v>1</v>
      </c>
      <c r="W2" s="192" t="s">
        <v>1</v>
      </c>
      <c r="X2" s="192" t="s">
        <v>1</v>
      </c>
      <c r="Y2" s="192" t="s">
        <v>1</v>
      </c>
      <c r="Z2" s="192" t="s">
        <v>1</v>
      </c>
      <c r="AA2" s="192" t="s">
        <v>1</v>
      </c>
      <c r="AB2" s="192" t="s">
        <v>1</v>
      </c>
      <c r="AC2" s="192" t="s">
        <v>1</v>
      </c>
      <c r="AE2" s="191" t="s">
        <v>1</v>
      </c>
      <c r="AF2" s="191" t="s">
        <v>1</v>
      </c>
      <c r="AG2" s="191" t="s">
        <v>1</v>
      </c>
      <c r="AH2" s="191" t="s">
        <v>1</v>
      </c>
      <c r="AI2" s="191" t="s">
        <v>1</v>
      </c>
      <c r="AJ2" s="191" t="s">
        <v>1</v>
      </c>
      <c r="AK2" s="191" t="s">
        <v>1</v>
      </c>
      <c r="AM2" s="191" t="s">
        <v>1</v>
      </c>
      <c r="AN2" s="191" t="s">
        <v>1</v>
      </c>
      <c r="AO2" s="191" t="s">
        <v>1</v>
      </c>
      <c r="AP2" s="191" t="s">
        <v>1</v>
      </c>
      <c r="AQ2" s="191" t="s">
        <v>1</v>
      </c>
      <c r="AR2" s="191" t="s">
        <v>1</v>
      </c>
      <c r="AT2" s="191" t="s">
        <v>1</v>
      </c>
      <c r="AU2" s="191" t="s">
        <v>1</v>
      </c>
      <c r="AV2" s="191" t="s">
        <v>1</v>
      </c>
      <c r="AW2" s="191" t="s">
        <v>1</v>
      </c>
      <c r="AX2" s="191" t="s">
        <v>1</v>
      </c>
      <c r="AY2" s="191" t="s">
        <v>1</v>
      </c>
    </row>
    <row r="3" spans="1:52" x14ac:dyDescent="0.2">
      <c r="B3" s="193"/>
      <c r="C3" s="216" t="s">
        <v>216</v>
      </c>
      <c r="D3" s="216" t="s">
        <v>212</v>
      </c>
      <c r="E3" s="193" t="s">
        <v>312</v>
      </c>
      <c r="F3" s="216" t="s">
        <v>313</v>
      </c>
      <c r="G3" s="216" t="s">
        <v>314</v>
      </c>
      <c r="H3" s="216" t="s">
        <v>315</v>
      </c>
      <c r="I3" s="193" t="s">
        <v>346</v>
      </c>
      <c r="J3" s="193" t="s">
        <v>359</v>
      </c>
      <c r="K3" s="216" t="s">
        <v>369</v>
      </c>
      <c r="L3" s="216" t="s">
        <v>393</v>
      </c>
      <c r="M3" s="193" t="s">
        <v>406</v>
      </c>
      <c r="N3" s="193" t="s">
        <v>412</v>
      </c>
      <c r="O3" s="193" t="s">
        <v>416</v>
      </c>
      <c r="P3" s="193" t="s">
        <v>419</v>
      </c>
      <c r="Q3" s="193" t="s">
        <v>422</v>
      </c>
      <c r="R3" s="193" t="s">
        <v>428</v>
      </c>
      <c r="S3" s="193" t="s">
        <v>430</v>
      </c>
      <c r="T3" s="193" t="s">
        <v>433</v>
      </c>
      <c r="U3" s="193" t="s">
        <v>436</v>
      </c>
      <c r="V3" s="193" t="s">
        <v>457</v>
      </c>
      <c r="W3" s="193" t="s">
        <v>459</v>
      </c>
      <c r="X3" s="193" t="s">
        <v>464</v>
      </c>
      <c r="Y3" s="193" t="s">
        <v>470</v>
      </c>
      <c r="Z3" s="193" t="s">
        <v>474</v>
      </c>
      <c r="AA3" s="193" t="s">
        <v>480</v>
      </c>
      <c r="AB3" s="193" t="s">
        <v>489</v>
      </c>
      <c r="AC3" s="193" t="s">
        <v>507</v>
      </c>
      <c r="AD3" s="178"/>
      <c r="AE3" s="216" t="s">
        <v>316</v>
      </c>
      <c r="AF3" s="216" t="s">
        <v>318</v>
      </c>
      <c r="AG3" s="216" t="s">
        <v>405</v>
      </c>
      <c r="AH3" s="216" t="s">
        <v>423</v>
      </c>
      <c r="AI3" s="216" t="s">
        <v>437</v>
      </c>
      <c r="AJ3" s="216" t="s">
        <v>469</v>
      </c>
      <c r="AK3" s="216" t="s">
        <v>508</v>
      </c>
      <c r="AM3" s="216" t="s">
        <v>317</v>
      </c>
      <c r="AN3" s="216" t="s">
        <v>358</v>
      </c>
      <c r="AO3" s="216" t="s">
        <v>413</v>
      </c>
      <c r="AP3" s="216" t="s">
        <v>429</v>
      </c>
      <c r="AQ3" s="216" t="s">
        <v>456</v>
      </c>
      <c r="AR3" s="216" t="s">
        <v>473</v>
      </c>
      <c r="AS3" s="233"/>
      <c r="AT3" s="216">
        <v>2019</v>
      </c>
      <c r="AU3" s="216">
        <v>2020</v>
      </c>
      <c r="AV3" s="216">
        <v>2021</v>
      </c>
      <c r="AW3" s="216">
        <v>2022</v>
      </c>
      <c r="AX3" s="216">
        <v>2023</v>
      </c>
      <c r="AY3" s="216">
        <v>2024</v>
      </c>
    </row>
    <row r="4" spans="1:52" x14ac:dyDescent="0.2">
      <c r="B4" s="217" t="s">
        <v>17</v>
      </c>
      <c r="C4" s="218">
        <v>4</v>
      </c>
      <c r="D4" s="218">
        <v>4</v>
      </c>
      <c r="E4" s="218">
        <v>4</v>
      </c>
      <c r="F4" s="218">
        <v>4</v>
      </c>
      <c r="G4" s="218">
        <v>4</v>
      </c>
      <c r="H4" s="218">
        <v>4</v>
      </c>
      <c r="I4" s="218">
        <v>4</v>
      </c>
      <c r="J4" s="218">
        <v>4</v>
      </c>
      <c r="K4" s="218">
        <v>4</v>
      </c>
      <c r="L4" s="218">
        <v>4</v>
      </c>
      <c r="M4" s="218">
        <v>4</v>
      </c>
      <c r="N4" s="218">
        <v>4</v>
      </c>
      <c r="O4" s="218">
        <v>4</v>
      </c>
      <c r="P4" s="218">
        <v>4</v>
      </c>
      <c r="Q4" s="218">
        <v>4</v>
      </c>
      <c r="R4" s="218">
        <v>4</v>
      </c>
      <c r="S4" s="218">
        <v>4</v>
      </c>
      <c r="T4" s="218">
        <v>4</v>
      </c>
      <c r="U4" s="218">
        <v>4</v>
      </c>
      <c r="V4" s="218">
        <v>4</v>
      </c>
      <c r="W4" s="218">
        <v>4</v>
      </c>
      <c r="X4" s="218">
        <v>4</v>
      </c>
      <c r="Y4" s="218">
        <v>4</v>
      </c>
      <c r="Z4" s="218">
        <v>4</v>
      </c>
      <c r="AA4" s="218">
        <v>4</v>
      </c>
      <c r="AB4" s="218">
        <v>4</v>
      </c>
      <c r="AC4" s="218">
        <v>4</v>
      </c>
      <c r="AD4" s="58"/>
      <c r="AE4" s="218">
        <v>2</v>
      </c>
      <c r="AF4" s="218">
        <v>2</v>
      </c>
      <c r="AG4" s="218">
        <v>2</v>
      </c>
      <c r="AH4" s="218">
        <v>2</v>
      </c>
      <c r="AI4" s="218">
        <v>2</v>
      </c>
      <c r="AJ4" s="218">
        <v>2</v>
      </c>
      <c r="AK4" s="218">
        <v>2</v>
      </c>
      <c r="AM4" s="218">
        <f t="shared" ref="AM4:AR4" si="0">4/3</f>
        <v>1.3333333333333333</v>
      </c>
      <c r="AN4" s="218">
        <f t="shared" si="0"/>
        <v>1.3333333333333333</v>
      </c>
      <c r="AO4" s="218">
        <f t="shared" si="0"/>
        <v>1.3333333333333333</v>
      </c>
      <c r="AP4" s="218">
        <f t="shared" si="0"/>
        <v>1.3333333333333333</v>
      </c>
      <c r="AQ4" s="218">
        <f t="shared" si="0"/>
        <v>1.3333333333333333</v>
      </c>
      <c r="AR4" s="218">
        <f t="shared" si="0"/>
        <v>1.3333333333333333</v>
      </c>
      <c r="AT4" s="218">
        <v>1</v>
      </c>
      <c r="AU4" s="218">
        <v>1</v>
      </c>
      <c r="AV4" s="218">
        <v>1</v>
      </c>
      <c r="AW4" s="218">
        <v>1</v>
      </c>
      <c r="AX4" s="218">
        <v>1</v>
      </c>
      <c r="AY4" s="218">
        <v>1</v>
      </c>
    </row>
    <row r="6" spans="1:52" x14ac:dyDescent="0.2">
      <c r="B6" s="176" t="s">
        <v>347</v>
      </c>
      <c r="C6" s="179"/>
      <c r="D6" s="219">
        <f t="shared" ref="D6:AB6" si="1">-(D40*D$4)/AVERAGE(C36:D36)</f>
        <v>1.1633148032881888E-2</v>
      </c>
      <c r="E6" s="219">
        <f t="shared" si="1"/>
        <v>1.6373916537512197E-2</v>
      </c>
      <c r="F6" s="219">
        <f t="shared" si="1"/>
        <v>1.8791368512234851E-2</v>
      </c>
      <c r="G6" s="219">
        <f t="shared" si="1"/>
        <v>1.7360787969955344E-2</v>
      </c>
      <c r="H6" s="219">
        <f t="shared" si="1"/>
        <v>3.2773435679102507E-2</v>
      </c>
      <c r="I6" s="219">
        <f t="shared" si="1"/>
        <v>3.4531004341617502E-2</v>
      </c>
      <c r="J6" s="219">
        <f t="shared" si="1"/>
        <v>3.0945694334509829E-2</v>
      </c>
      <c r="K6" s="219">
        <f t="shared" si="1"/>
        <v>1.9644786541535328E-2</v>
      </c>
      <c r="L6" s="219">
        <f t="shared" si="1"/>
        <v>1.9366568765813531E-2</v>
      </c>
      <c r="M6" s="219">
        <f t="shared" si="1"/>
        <v>3.6843160355867537E-2</v>
      </c>
      <c r="N6" s="219">
        <f t="shared" si="1"/>
        <v>2.5594143176214754E-2</v>
      </c>
      <c r="O6" s="219">
        <f t="shared" si="1"/>
        <v>4.5848669746300731E-2</v>
      </c>
      <c r="P6" s="219">
        <f t="shared" si="1"/>
        <v>6.7517651441261858E-2</v>
      </c>
      <c r="Q6" s="219">
        <f t="shared" si="1"/>
        <v>9.55746983213865E-2</v>
      </c>
      <c r="R6" s="219">
        <f t="shared" si="1"/>
        <v>4.0921077379558655E-2</v>
      </c>
      <c r="S6" s="219">
        <f t="shared" si="1"/>
        <v>2.5827034400347216E-2</v>
      </c>
      <c r="T6" s="219">
        <f t="shared" si="1"/>
        <v>2.8170609721232785E-2</v>
      </c>
      <c r="U6" s="219">
        <f t="shared" si="1"/>
        <v>2.5496714296739449E-2</v>
      </c>
      <c r="V6" s="219">
        <f t="shared" si="1"/>
        <v>1.4575834229380738E-2</v>
      </c>
      <c r="W6" s="219">
        <f t="shared" si="1"/>
        <v>5.1645963240672908E-2</v>
      </c>
      <c r="X6" s="219">
        <f t="shared" si="1"/>
        <v>1.9884758814065047E-2</v>
      </c>
      <c r="Y6" s="219">
        <f t="shared" si="1"/>
        <v>2.6915845549639668E-2</v>
      </c>
      <c r="Z6" s="219">
        <f t="shared" si="1"/>
        <v>2.9590848700506711E-2</v>
      </c>
      <c r="AA6" s="219">
        <f t="shared" si="1"/>
        <v>2.469269959175471E-2</v>
      </c>
      <c r="AB6" s="219">
        <f t="shared" si="1"/>
        <v>2.229805956066221E-2</v>
      </c>
      <c r="AC6" s="219">
        <f>-(AC40*AC$4)/AVERAGE(AB36:AC36)</f>
        <v>3.6869961170020414E-2</v>
      </c>
      <c r="AE6" s="219">
        <f>-(AE40*AE$4)/AVERAGE(C36:E36)</f>
        <v>1.4012458706034774E-2</v>
      </c>
      <c r="AF6" s="219">
        <f>-(AF40*AF$4)/AVERAGE(G36:I36)</f>
        <v>3.3863586117072714E-2</v>
      </c>
      <c r="AG6" s="219">
        <f>-(AG40*AG$4)/AVERAGE(K36:M36)</f>
        <v>2.8516367014842309E-2</v>
      </c>
      <c r="AH6" s="219">
        <f>-(AH40*AH$4)/AVERAGE(O36:Q36)</f>
        <v>4.7397583932714211E-2</v>
      </c>
      <c r="AI6" s="219">
        <f>-(AI40*AI$4)/AVERAGE(S36:U36)</f>
        <v>2.6779934784322935E-2</v>
      </c>
      <c r="AJ6" s="219">
        <f>-(AJ40*AJ$4)/AVERAGE(W36:Y36)</f>
        <v>2.3768598614706711E-2</v>
      </c>
      <c r="AK6" s="219">
        <f>-(AK40*AK$4)/AVERAGE(AA36:AC36)</f>
        <v>2.9501652937878611E-2</v>
      </c>
      <c r="AM6" s="219">
        <f>-(AM40*AM$4)/AVERAGE(C36:F36)</f>
        <v>1.5568914324839997E-2</v>
      </c>
      <c r="AN6" s="219">
        <f>-(AN40*AN$4)/AVERAGE(G36:J36)</f>
        <v>3.3000686570310411E-2</v>
      </c>
      <c r="AO6" s="219">
        <f>-(AO40*AO$4)/AVERAGE(K36:N36)</f>
        <v>2.8943654851970989E-2</v>
      </c>
      <c r="AP6" s="219">
        <f>-(AP40*AP$4)/AVERAGE(O36:R36)</f>
        <v>4.4756824363791692E-2</v>
      </c>
      <c r="AQ6" s="219">
        <f>-(AQ40*AQ$4)/AVERAGE(S36:V36)</f>
        <v>2.2279771242643822E-2</v>
      </c>
      <c r="AR6" s="219">
        <f>-(AR40*AR$4)/AVERAGE(W36:Z36)</f>
        <v>2.5946077670145052E-2</v>
      </c>
      <c r="AT6" s="219">
        <f>-(AT40*AT$4)/AVERAGE(C36:G36)</f>
        <v>1.5978821451160665E-2</v>
      </c>
      <c r="AU6" s="219">
        <f>-(AU40*AU$4)/AVERAGE(G36:K36)</f>
        <v>2.9453138992269676E-2</v>
      </c>
      <c r="AV6" s="219">
        <f>-(AV40*AV$4)/AVERAGE(K36:O36)</f>
        <v>3.3055142396847002E-2</v>
      </c>
      <c r="AW6" s="219">
        <f>-(AW40*AW$4)/AVERAGE(O36:S36)</f>
        <v>3.9548789517034173E-2</v>
      </c>
      <c r="AX6" s="219">
        <f>-(AX40*AX$4)/AVERAGE(S36:W36)</f>
        <v>1.8267894389687012E-2</v>
      </c>
      <c r="AY6" s="219">
        <f>-(AY40*AY$4)/AVERAGE(W36:AA36)</f>
        <v>2.5579424180966481E-2</v>
      </c>
      <c r="AZ6" s="203"/>
    </row>
    <row r="7" spans="1:52" x14ac:dyDescent="0.2"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E7" s="196"/>
      <c r="AF7" s="196"/>
      <c r="AG7" s="196"/>
      <c r="AH7" s="196"/>
      <c r="AI7" s="196"/>
      <c r="AJ7" s="196"/>
      <c r="AK7" s="196"/>
      <c r="AM7" s="196"/>
      <c r="AN7" s="196"/>
      <c r="AO7" s="196"/>
      <c r="AP7" s="196"/>
      <c r="AQ7" s="196"/>
      <c r="AR7" s="196"/>
      <c r="AT7" s="196"/>
      <c r="AU7" s="196"/>
      <c r="AV7" s="196"/>
      <c r="AW7" s="196"/>
      <c r="AX7" s="196"/>
      <c r="AY7" s="196"/>
    </row>
    <row r="8" spans="1:52" x14ac:dyDescent="0.2">
      <c r="B8" s="220" t="s">
        <v>348</v>
      </c>
      <c r="C8" s="135"/>
      <c r="D8" s="135">
        <f t="shared" ref="D8:AC8" si="2">-(D41*D$4)/AVERAGE(C23:D23)</f>
        <v>1.6709257949169592E-2</v>
      </c>
      <c r="E8" s="135">
        <f t="shared" si="2"/>
        <v>3.5596015451017697E-2</v>
      </c>
      <c r="F8" s="135">
        <f t="shared" si="2"/>
        <v>2.9053537382367635E-2</v>
      </c>
      <c r="G8" s="135">
        <f t="shared" si="2"/>
        <v>3.5883179476332211E-2</v>
      </c>
      <c r="H8" s="135">
        <f t="shared" si="2"/>
        <v>5.9127515580078928E-2</v>
      </c>
      <c r="I8" s="135">
        <f t="shared" si="2"/>
        <v>7.0503650031255971E-2</v>
      </c>
      <c r="J8" s="135">
        <f t="shared" si="2"/>
        <v>6.6323547993092702E-2</v>
      </c>
      <c r="K8" s="135">
        <f t="shared" si="2"/>
        <v>3.9939918460768185E-2</v>
      </c>
      <c r="L8" s="135">
        <f t="shared" si="2"/>
        <v>2.3473729429748066E-2</v>
      </c>
      <c r="M8" s="135">
        <f t="shared" si="2"/>
        <v>6.0767799123056056E-2</v>
      </c>
      <c r="N8" s="135">
        <f t="shared" si="2"/>
        <v>2.3318873739903077E-2</v>
      </c>
      <c r="O8" s="135">
        <f t="shared" si="2"/>
        <v>4.1023968504028722E-2</v>
      </c>
      <c r="P8" s="135">
        <f t="shared" si="2"/>
        <v>4.839730641581267E-2</v>
      </c>
      <c r="Q8" s="135">
        <f t="shared" si="2"/>
        <v>4.551779165525003E-2</v>
      </c>
      <c r="R8" s="135">
        <f t="shared" si="2"/>
        <v>4.6054273383794982E-2</v>
      </c>
      <c r="S8" s="135">
        <f t="shared" si="2"/>
        <v>3.9224696814820166E-2</v>
      </c>
      <c r="T8" s="135">
        <f t="shared" si="2"/>
        <v>3.0044010634992749E-2</v>
      </c>
      <c r="U8" s="135">
        <f t="shared" si="2"/>
        <v>4.0718391684789822E-2</v>
      </c>
      <c r="V8" s="135">
        <f t="shared" si="2"/>
        <v>2.4245994029531065E-2</v>
      </c>
      <c r="W8" s="135">
        <f t="shared" si="2"/>
        <v>7.2197060926795592E-2</v>
      </c>
      <c r="X8" s="135">
        <f t="shared" si="2"/>
        <v>2.5795365867494546E-2</v>
      </c>
      <c r="Y8" s="135">
        <f>-(Y41*Y$4)/AVERAGE(X23:Y23)</f>
        <v>4.7057256734011912E-2</v>
      </c>
      <c r="Z8" s="135">
        <f t="shared" si="2"/>
        <v>4.5266538339550952E-2</v>
      </c>
      <c r="AA8" s="135">
        <f t="shared" si="2"/>
        <v>3.5020748147080463E-2</v>
      </c>
      <c r="AB8" s="135">
        <f t="shared" si="2"/>
        <v>4.276063078014767E-2</v>
      </c>
      <c r="AC8" s="135">
        <f t="shared" si="2"/>
        <v>5.7967746714508196E-2</v>
      </c>
      <c r="AD8" s="135"/>
      <c r="AE8" s="135">
        <f>-(AE41*AE$4)/AVERAGE(C23:E23)</f>
        <v>2.6466696074106746E-2</v>
      </c>
      <c r="AF8" s="135">
        <f>-(AF41*AF$4)/AVERAGE(G23:I23)</f>
        <v>6.5108674176233061E-2</v>
      </c>
      <c r="AG8" s="135">
        <f>-(AG41*AG$4)/AVERAGE(K23:M23)</f>
        <v>4.286106934406881E-2</v>
      </c>
      <c r="AH8" s="135">
        <f>-(AH41*AH$4)/AVERAGE(O23:Q23)</f>
        <v>4.689125785194035E-2</v>
      </c>
      <c r="AI8" s="135">
        <f>-(AI41*AI$4)/AVERAGE(S23:U23)</f>
        <v>3.5407904161404782E-2</v>
      </c>
      <c r="AJ8" s="135">
        <f>-(AJ41*AJ$4)/AVERAGE(W23:Y23)</f>
        <v>3.7837974021545956E-2</v>
      </c>
      <c r="AK8" s="135">
        <f>-(AK41*AK$4)/AVERAGE(AA23:AC23)</f>
        <v>5.0443568236300459E-2</v>
      </c>
      <c r="AL8" s="351"/>
      <c r="AM8" s="135">
        <f>-(AM41*AM$4)/AVERAGE(C23:F23)</f>
        <v>2.7379468856847569E-2</v>
      </c>
      <c r="AN8" s="135">
        <f>-(AN41*AN$4)/AVERAGE(G23:J23)</f>
        <v>6.515572469013263E-2</v>
      </c>
      <c r="AO8" s="135">
        <f>-(AO41*AO$4)/AVERAGE(K23:N23)</f>
        <v>3.5614325068870523E-2</v>
      </c>
      <c r="AP8" s="135">
        <f>-(AP41*AP$4)/AVERAGE(O23:R23)</f>
        <v>4.6461675532118357E-2</v>
      </c>
      <c r="AQ8" s="135">
        <f>-(AQ41*AQ$4)/AVERAGE(S23:V23)</f>
        <v>3.136108562630522E-2</v>
      </c>
      <c r="AR8" s="135">
        <f>-(AR41*AR$4)/AVERAGE(W23:Z23)</f>
        <v>4.0721007852888062E-2</v>
      </c>
      <c r="AT8" s="135">
        <f>-(AT41*AT$4)/AVERAGE(C23:G23)</f>
        <v>2.9768033047346678E-2</v>
      </c>
      <c r="AU8" s="135">
        <f>-(AU41*AU$4)/AVERAGE(G23:K23)</f>
        <v>5.8444984936020482E-2</v>
      </c>
      <c r="AV8" s="135">
        <f>-(AV41*AV$4)/AVERAGE(K23:O23)</f>
        <v>3.7295694748652353E-2</v>
      </c>
      <c r="AW8" s="135">
        <f>-(AW41*AW$4)/AVERAGE(O23:S23)</f>
        <v>4.4559742415405286E-2</v>
      </c>
      <c r="AX8" s="135">
        <f>-(AX41*AX$4)/AVERAGE(S23:W23)</f>
        <v>2.6437907176153626E-2</v>
      </c>
      <c r="AY8" s="136">
        <f>-(AY41*AY$4)/AVERAGE(W23:AA23)</f>
        <v>3.9231986084336791E-2</v>
      </c>
    </row>
    <row r="9" spans="1:52" x14ac:dyDescent="0.2">
      <c r="B9" s="197" t="s">
        <v>349</v>
      </c>
      <c r="C9" s="135"/>
      <c r="D9" s="135">
        <f t="shared" ref="D9:AC9" si="3">-(D42*D$4)/AVERAGE(C25:D25)</f>
        <v>3.0841865597630986E-2</v>
      </c>
      <c r="E9" s="135">
        <f t="shared" si="3"/>
        <v>4.5289285309917097E-2</v>
      </c>
      <c r="F9" s="135">
        <f t="shared" si="3"/>
        <v>5.9698122579843978E-2</v>
      </c>
      <c r="G9" s="135">
        <f t="shared" si="3"/>
        <v>4.117346396562805E-2</v>
      </c>
      <c r="H9" s="135">
        <f t="shared" si="3"/>
        <v>0.10822071967336613</v>
      </c>
      <c r="I9" s="135">
        <f t="shared" si="3"/>
        <v>9.5134939976532176E-2</v>
      </c>
      <c r="J9" s="135">
        <f t="shared" si="3"/>
        <v>0.11570374792137467</v>
      </c>
      <c r="K9" s="135">
        <f t="shared" si="3"/>
        <v>8.3915973486089673E-2</v>
      </c>
      <c r="L9" s="135">
        <f t="shared" si="3"/>
        <v>5.764792832471078E-2</v>
      </c>
      <c r="M9" s="135">
        <f t="shared" si="3"/>
        <v>0.15561008048797267</v>
      </c>
      <c r="N9" s="135">
        <f t="shared" si="3"/>
        <v>3.9596982171747105E-2</v>
      </c>
      <c r="O9" s="135">
        <f t="shared" si="3"/>
        <v>8.4914956514288167E-2</v>
      </c>
      <c r="P9" s="135">
        <f t="shared" si="3"/>
        <v>8.2574773757270445E-2</v>
      </c>
      <c r="Q9" s="135">
        <f t="shared" si="3"/>
        <v>9.5681600561433558E-2</v>
      </c>
      <c r="R9" s="135">
        <f t="shared" si="3"/>
        <v>9.0322360138764671E-2</v>
      </c>
      <c r="S9" s="135">
        <f t="shared" si="3"/>
        <v>7.1826698236686914E-2</v>
      </c>
      <c r="T9" s="135">
        <f t="shared" si="3"/>
        <v>4.6432654580197061E-2</v>
      </c>
      <c r="U9" s="135">
        <f t="shared" si="3"/>
        <v>7.5805919243041045E-2</v>
      </c>
      <c r="V9" s="135">
        <f t="shared" si="3"/>
        <v>4.3141511884227844E-2</v>
      </c>
      <c r="W9" s="135">
        <f t="shared" si="3"/>
        <v>0.15545133070358258</v>
      </c>
      <c r="X9" s="135">
        <f t="shared" si="3"/>
        <v>4.5350529638824612E-2</v>
      </c>
      <c r="Y9" s="135">
        <f t="shared" si="3"/>
        <v>8.9434431681179483E-2</v>
      </c>
      <c r="Z9" s="135">
        <f t="shared" si="3"/>
        <v>8.6909309162596177E-2</v>
      </c>
      <c r="AA9" s="135">
        <f t="shared" si="3"/>
        <v>6.9522073791106559E-2</v>
      </c>
      <c r="AB9" s="135">
        <f t="shared" si="3"/>
        <v>8.5096565691712159E-2</v>
      </c>
      <c r="AC9" s="135">
        <f t="shared" si="3"/>
        <v>0.10295404876871539</v>
      </c>
      <c r="AE9" s="135">
        <f>-(AE42*AE$4)/AVERAGE(C25:E25)</f>
        <v>3.8397461324871082E-2</v>
      </c>
      <c r="AF9" s="135">
        <f>-(AF42*AF$4)/AVERAGE(G25:I25)</f>
        <v>0.10212044834266101</v>
      </c>
      <c r="AG9" s="135">
        <f>-(AG42*AG$4)/AVERAGE(K25:M25)</f>
        <v>0.10909113715520954</v>
      </c>
      <c r="AH9" s="135">
        <f>-(AH42*AH$4)/AVERAGE(O25:Q25)</f>
        <v>8.9079421658116775E-2</v>
      </c>
      <c r="AI9" s="135">
        <f>-(AI42*AI$4)/AVERAGE(S25:U25)</f>
        <v>6.138171961350173E-2</v>
      </c>
      <c r="AJ9" s="135">
        <f>-(AJ42*AJ$4)/AVERAGE(W25:Y25)</f>
        <v>7.2403866946042728E-2</v>
      </c>
      <c r="AK9" s="135">
        <f>-(AK42*AK$4)/AVERAGE(AA25:AC25)</f>
        <v>9.4123388258976565E-2</v>
      </c>
      <c r="AL9" s="351"/>
      <c r="AM9" s="135">
        <f>-(AM42*AM$4)/AVERAGE(C25:F25)</f>
        <v>4.6184262554369311E-2</v>
      </c>
      <c r="AN9" s="135">
        <f>-(AN42*AN$4)/AVERAGE(G25:J25)</f>
        <v>0.1060089744616361</v>
      </c>
      <c r="AO9" s="135">
        <f>-(AO42*AO$4)/AVERAGE(K25:N25)</f>
        <v>8.2483740364198754E-2</v>
      </c>
      <c r="AP9" s="135">
        <f>-(AP42*AP$4)/AVERAGE(O25:R25)</f>
        <v>8.9357295476293466E-2</v>
      </c>
      <c r="AQ9" s="135">
        <f>-(AQ42*AQ$4)/AVERAGE(S25:V25)</f>
        <v>5.5171065662249698E-2</v>
      </c>
      <c r="AR9" s="135">
        <f>-(AR42*AR$4)/AVERAGE(W25:Z25)</f>
        <v>7.8807596973915234E-2</v>
      </c>
      <c r="AT9" s="135">
        <f>-(AT42*AT$4)/AVERAGE(C25:G25)</f>
        <v>4.4653268722923578E-2</v>
      </c>
      <c r="AU9" s="135">
        <f>-(AU42*AU$4)/AVERAGE(G25:K25)</f>
        <v>0.10010638408107296</v>
      </c>
      <c r="AV9" s="135">
        <f>-(AV42*AV$4)/AVERAGE(K25:O25)</f>
        <v>8.3663614606720185E-2</v>
      </c>
      <c r="AW9" s="135">
        <f>-(AW42*AW$4)/AVERAGE(O25:S25)</f>
        <v>8.4895388870906044E-2</v>
      </c>
      <c r="AX9" s="135">
        <f>-(AX42*AX$4)/AVERAGE(S25:W25)</f>
        <v>5.1696208650501174E-2</v>
      </c>
      <c r="AY9" s="135">
        <f>-(AY42*AY$4)/AVERAGE(W25:AA25)</f>
        <v>7.6603843239034519E-2</v>
      </c>
    </row>
    <row r="10" spans="1:52" s="206" customFormat="1" x14ac:dyDescent="0.2">
      <c r="A10" s="167"/>
      <c r="B10" s="199" t="s">
        <v>235</v>
      </c>
      <c r="C10" s="200"/>
      <c r="D10" s="200">
        <f t="shared" ref="D10:AC10" si="4">-(D43*D$4)/AVERAGE(C19:D19)</f>
        <v>3.2904713434014E-2</v>
      </c>
      <c r="E10" s="200">
        <f t="shared" si="4"/>
        <v>4.4286659847162888E-2</v>
      </c>
      <c r="F10" s="200">
        <f t="shared" si="4"/>
        <v>5.9335673879690895E-2</v>
      </c>
      <c r="G10" s="200">
        <f t="shared" si="4"/>
        <v>2.7069611261784837E-2</v>
      </c>
      <c r="H10" s="200">
        <f t="shared" si="4"/>
        <v>8.4990569866545712E-2</v>
      </c>
      <c r="I10" s="200">
        <f t="shared" si="4"/>
        <v>9.7841187580974973E-2</v>
      </c>
      <c r="J10" s="200">
        <f t="shared" si="4"/>
        <v>0.11954605893812424</v>
      </c>
      <c r="K10" s="200">
        <f t="shared" si="4"/>
        <v>5.8829215337829296E-2</v>
      </c>
      <c r="L10" s="200">
        <f t="shared" si="4"/>
        <v>7.4511481956924835E-2</v>
      </c>
      <c r="M10" s="200">
        <f t="shared" si="4"/>
        <v>6.3628740566450986E-2</v>
      </c>
      <c r="N10" s="200">
        <f t="shared" si="4"/>
        <v>2.3234808945617785E-2</v>
      </c>
      <c r="O10" s="200">
        <f t="shared" si="4"/>
        <v>0.22250832560854189</v>
      </c>
      <c r="P10" s="200">
        <f t="shared" si="4"/>
        <v>7.229065344407376E-2</v>
      </c>
      <c r="Q10" s="200">
        <f t="shared" si="4"/>
        <v>0.11697259313346298</v>
      </c>
      <c r="R10" s="200">
        <f t="shared" si="4"/>
        <v>9.6572343082253209E-2</v>
      </c>
      <c r="S10" s="200">
        <f t="shared" si="4"/>
        <v>6.216164748769009E-2</v>
      </c>
      <c r="T10" s="200">
        <f t="shared" si="4"/>
        <v>7.7174553834610637E-2</v>
      </c>
      <c r="U10" s="200">
        <f t="shared" si="4"/>
        <v>0.10381763251853886</v>
      </c>
      <c r="V10" s="200">
        <f t="shared" si="4"/>
        <v>3.8391113810908144E-2</v>
      </c>
      <c r="W10" s="200">
        <f t="shared" si="4"/>
        <v>0.18461660540552796</v>
      </c>
      <c r="X10" s="200">
        <f t="shared" si="4"/>
        <v>2.930817982805433E-2</v>
      </c>
      <c r="Y10" s="200">
        <f t="shared" si="4"/>
        <v>9.0587581052983382E-2</v>
      </c>
      <c r="Z10" s="200">
        <f t="shared" si="4"/>
        <v>9.9417372954361566E-2</v>
      </c>
      <c r="AA10" s="200">
        <f t="shared" si="4"/>
        <v>7.2614924378127568E-2</v>
      </c>
      <c r="AB10" s="200">
        <f t="shared" si="4"/>
        <v>9.4130415735132436E-2</v>
      </c>
      <c r="AC10" s="200">
        <f t="shared" si="4"/>
        <v>0.11490027432746112</v>
      </c>
      <c r="AE10" s="200">
        <f>-(AE43*AE$4)/AVERAGE(C19:E19)</f>
        <v>3.8609042715665579E-2</v>
      </c>
      <c r="AF10" s="200">
        <f>-(AF43*AF$4)/AVERAGE(G19:I19)</f>
        <v>9.2091414427231802E-2</v>
      </c>
      <c r="AG10" s="200">
        <f>-(AG43*AG$4)/AVERAGE(K19:M19)</f>
        <v>6.7712142378552137E-2</v>
      </c>
      <c r="AH10" s="200">
        <f>-(AH43*AH$4)/AVERAGE(O19:Q19)</f>
        <v>9.4716345036038124E-2</v>
      </c>
      <c r="AI10" s="200">
        <f>-(AI43*AI$4)/AVERAGE(S19:U19)</f>
        <v>8.9962036480768989E-2</v>
      </c>
      <c r="AJ10" s="200">
        <f>-(AJ43*AJ$4)/AVERAGE(W19:Y19)</f>
        <v>6.7692173005259412E-2</v>
      </c>
      <c r="AK10" s="200">
        <f>-(AK43*AK$4)/AVERAGE(AA19:AC19)</f>
        <v>0.10458990353432823</v>
      </c>
      <c r="AM10" s="200">
        <f>-(AM43*AM$4)/AVERAGE(C19:F19)</f>
        <v>4.5717069670141199E-2</v>
      </c>
      <c r="AN10" s="200">
        <f>-(AN43*AN$4)/AVERAGE(G19:J19)</f>
        <v>0.10111744184374635</v>
      </c>
      <c r="AO10" s="200">
        <f>-(AO43*AO$4)/AVERAGE(K19:N19)</f>
        <v>5.1083462774710486E-2</v>
      </c>
      <c r="AP10" s="200">
        <f>-(AP43*AP$4)/AVERAGE(O19:R19)</f>
        <v>9.510530283750733E-2</v>
      </c>
      <c r="AQ10" s="200">
        <f>-(AQ43*AQ$4)/AVERAGE(S19:V19)</f>
        <v>7.1997007368269098E-2</v>
      </c>
      <c r="AR10" s="200">
        <f>-(AR43*AR$4)/AVERAGE(W19:Z19)</f>
        <v>8.1177556775152884E-2</v>
      </c>
      <c r="AS10" s="230"/>
      <c r="AT10" s="200">
        <f>-(AT43*AT$4)/AVERAGE(C19:G19)</f>
        <v>4.040338864681859E-2</v>
      </c>
      <c r="AU10" s="200">
        <f>-(AU43*AU$4)/AVERAGE(G19:K19)</f>
        <v>8.9997651160203238E-2</v>
      </c>
      <c r="AV10" s="200">
        <f>-(AV43*AV$4)/AVERAGE(K19:O19)</f>
        <v>0.10398491433030248</v>
      </c>
      <c r="AW10" s="200">
        <f>-(AW43*AW$4)/AVERAGE(O19:S19)</f>
        <v>8.6531497889579159E-2</v>
      </c>
      <c r="AX10" s="200">
        <f>-(AX43*AX$4)/AVERAGE(S19:W19)</f>
        <v>5.9604090681889772E-2</v>
      </c>
      <c r="AY10" s="200">
        <f>-(AY43*AY$4)/AVERAGE(W19:AA19)</f>
        <v>7.9347941342740064E-2</v>
      </c>
    </row>
    <row r="11" spans="1:52" s="206" customFormat="1" x14ac:dyDescent="0.2">
      <c r="A11" s="167"/>
      <c r="B11" s="199" t="s">
        <v>236</v>
      </c>
      <c r="C11" s="200"/>
      <c r="D11" s="200">
        <f t="shared" ref="D11:AC11" si="5">-(D44*D$4)/AVERAGE(C20:D20)</f>
        <v>2.6607538802660754E-2</v>
      </c>
      <c r="E11" s="200">
        <f t="shared" si="5"/>
        <v>4.6976241900647947E-2</v>
      </c>
      <c r="F11" s="200">
        <f t="shared" si="5"/>
        <v>6.0241133751674537E-2</v>
      </c>
      <c r="G11" s="200">
        <f t="shared" si="5"/>
        <v>6.1283115225023936E-2</v>
      </c>
      <c r="H11" s="200">
        <f t="shared" si="5"/>
        <v>0.14088005280764368</v>
      </c>
      <c r="I11" s="200">
        <f t="shared" si="5"/>
        <v>9.1424658120572683E-2</v>
      </c>
      <c r="J11" s="200">
        <f t="shared" si="5"/>
        <v>0.11097799836461483</v>
      </c>
      <c r="K11" s="200">
        <f t="shared" si="5"/>
        <v>0.11231377830148977</v>
      </c>
      <c r="L11" s="200">
        <f t="shared" si="5"/>
        <v>3.8727435667648191E-2</v>
      </c>
      <c r="M11" s="200">
        <f t="shared" si="5"/>
        <v>0.23335272650341143</v>
      </c>
      <c r="N11" s="200">
        <f t="shared" si="5"/>
        <v>5.1596934647056024E-2</v>
      </c>
      <c r="O11" s="200">
        <f t="shared" si="5"/>
        <v>-5.2214675540196064E-2</v>
      </c>
      <c r="P11" s="200">
        <f t="shared" si="5"/>
        <v>9.5554325770153103E-2</v>
      </c>
      <c r="Q11" s="200">
        <f t="shared" si="5"/>
        <v>6.9822677443288836E-2</v>
      </c>
      <c r="R11" s="200">
        <f t="shared" si="5"/>
        <v>8.2990154409883554E-2</v>
      </c>
      <c r="S11" s="200">
        <f t="shared" si="5"/>
        <v>8.3199948780331642E-2</v>
      </c>
      <c r="T11" s="200">
        <f t="shared" si="5"/>
        <v>1.1183955325629002E-2</v>
      </c>
      <c r="U11" s="200">
        <f t="shared" si="5"/>
        <v>4.1456170968433299E-2</v>
      </c>
      <c r="V11" s="200">
        <f t="shared" si="5"/>
        <v>4.9583599753651106E-2</v>
      </c>
      <c r="W11" s="200">
        <f t="shared" si="5"/>
        <v>0.11649588728939629</v>
      </c>
      <c r="X11" s="200">
        <f t="shared" si="5"/>
        <v>7.5154520555486742E-2</v>
      </c>
      <c r="Y11" s="200">
        <f t="shared" si="5"/>
        <v>8.6747849174133931E-2</v>
      </c>
      <c r="Z11" s="200">
        <f t="shared" si="5"/>
        <v>5.8769171612679159E-2</v>
      </c>
      <c r="AA11" s="200">
        <f t="shared" si="5"/>
        <v>6.2974570014735581E-2</v>
      </c>
      <c r="AB11" s="200">
        <f t="shared" si="5"/>
        <v>6.6832758108386098E-2</v>
      </c>
      <c r="AC11" s="200">
        <f t="shared" si="5"/>
        <v>7.9964375635399196E-2</v>
      </c>
      <c r="AE11" s="200">
        <f>-(AE44*AE$4)/AVERAGE(C20:E20)</f>
        <v>3.8005705883092239E-2</v>
      </c>
      <c r="AF11" s="200">
        <f>-(AF44*AF$4)/AVERAGE(G20:I20)</f>
        <v>0.11599590223913361</v>
      </c>
      <c r="AG11" s="200">
        <f>-(AG44*AG$4)/AVERAGE(K20:M20)</f>
        <v>0.14688881332879974</v>
      </c>
      <c r="AH11" s="200">
        <f>-(AH44*AH$4)/AVERAGE(O20:Q20)</f>
        <v>8.2121010996107413E-2</v>
      </c>
      <c r="AI11" s="200">
        <f>-(AI44*AI$4)/AVERAGE(S20:U20)</f>
        <v>2.6670668474379804E-2</v>
      </c>
      <c r="AJ11" s="200">
        <f>-(AJ44*AJ$4)/AVERAGE(W20:Y20)</f>
        <v>8.1938530791429445E-2</v>
      </c>
      <c r="AK11" s="200">
        <f>-(AK44*AK$4)/AVERAGE(AA20:AC20)</f>
        <v>7.3509405196113764E-2</v>
      </c>
      <c r="AM11" s="200">
        <f>-(AM44*AM$4)/AVERAGE(C20:F20)</f>
        <v>4.6987328020098626E-2</v>
      </c>
      <c r="AN11" s="200">
        <f>-(AN44*AN$4)/AVERAGE(G20:J20)</f>
        <v>0.11242065225771633</v>
      </c>
      <c r="AO11" s="200">
        <f>-(AO44*AO$4)/AVERAGE(K20:N20)</f>
        <v>0.10955649139183843</v>
      </c>
      <c r="AP11" s="200">
        <f>-(AP44*AP$4)/AVERAGE(O20:R20)</f>
        <v>8.2372566868910368E-2</v>
      </c>
      <c r="AQ11" s="200">
        <f>-(AQ44*AQ$4)/AVERAGE(S20:V20)</f>
        <v>3.4134426297377299E-2</v>
      </c>
      <c r="AR11" s="200">
        <f>-(AR44*AR$4)/AVERAGE(W20:Z20)</f>
        <v>7.3916054215393642E-2</v>
      </c>
      <c r="AS11" s="230"/>
      <c r="AT11" s="200">
        <f>-(AT44*AT$4)/AVERAGE(C20:G20)</f>
        <v>5.1606893339543547E-2</v>
      </c>
      <c r="AU11" s="200">
        <f>-(AU44*AU$4)/AVERAGE(G20:K20)</f>
        <v>0.11290953928054175</v>
      </c>
      <c r="AV11" s="200">
        <f>-(AV44*AV$4)/AVERAGE(K20:O20)</f>
        <v>6.4284223080723207E-2</v>
      </c>
      <c r="AW11" s="200">
        <f>-(AW44*AW$4)/AVERAGE(O20:S20)</f>
        <v>8.2916086285434634E-2</v>
      </c>
      <c r="AX11" s="200">
        <f>-(AX44*AX$4)/AVERAGE(S20:W20)</f>
        <v>4.1702975227187848E-2</v>
      </c>
      <c r="AY11" s="200">
        <f>-(AY44*AY$4)/AVERAGE(W20:AA20)</f>
        <v>7.0940906384537886E-2</v>
      </c>
    </row>
    <row r="12" spans="1:52" x14ac:dyDescent="0.2">
      <c r="B12" s="197" t="s">
        <v>350</v>
      </c>
      <c r="C12" s="135"/>
      <c r="D12" s="135">
        <f t="shared" ref="D12:AC12" si="6">-(D45*D$4)/AVERAGE(C24:D24)</f>
        <v>9.2806061763021485E-3</v>
      </c>
      <c r="E12" s="135">
        <f t="shared" si="6"/>
        <v>3.0299697552928238E-2</v>
      </c>
      <c r="F12" s="135">
        <f t="shared" si="6"/>
        <v>1.1722378825655154E-2</v>
      </c>
      <c r="G12" s="135">
        <f t="shared" si="6"/>
        <v>3.2733441199422703E-2</v>
      </c>
      <c r="H12" s="135">
        <f t="shared" si="6"/>
        <v>2.8524384870480739E-2</v>
      </c>
      <c r="I12" s="135">
        <f t="shared" si="6"/>
        <v>5.4888115109395695E-2</v>
      </c>
      <c r="J12" s="135">
        <f t="shared" si="6"/>
        <v>3.406815301703129E-2</v>
      </c>
      <c r="K12" s="135">
        <f t="shared" si="6"/>
        <v>1.0302146635306137E-2</v>
      </c>
      <c r="L12" s="135">
        <f t="shared" si="6"/>
        <v>4.4717378545313188E-4</v>
      </c>
      <c r="M12" s="135">
        <f t="shared" si="6"/>
        <v>-1.3812596781719047E-2</v>
      </c>
      <c r="N12" s="135">
        <f t="shared" si="6"/>
        <v>9.3010790828190158E-3</v>
      </c>
      <c r="O12" s="135">
        <f t="shared" si="6"/>
        <v>4.6573791237950538E-3</v>
      </c>
      <c r="P12" s="135">
        <f t="shared" si="6"/>
        <v>2.0508452583353019E-2</v>
      </c>
      <c r="Q12" s="135">
        <f t="shared" si="6"/>
        <v>4.4414286595521558E-3</v>
      </c>
      <c r="R12" s="135">
        <f t="shared" si="6"/>
        <v>1.0045625426676511E-2</v>
      </c>
      <c r="S12" s="135">
        <f t="shared" si="6"/>
        <v>1.3436149932310305E-2</v>
      </c>
      <c r="T12" s="135">
        <f t="shared" si="6"/>
        <v>1.7359586892791812E-2</v>
      </c>
      <c r="U12" s="135">
        <f t="shared" si="6"/>
        <v>1.4865518735164248E-2</v>
      </c>
      <c r="V12" s="135">
        <f t="shared" si="6"/>
        <v>1.1542525565485252E-2</v>
      </c>
      <c r="W12" s="135">
        <f t="shared" si="6"/>
        <v>2.0727527394741773E-2</v>
      </c>
      <c r="X12" s="135">
        <f t="shared" si="6"/>
        <v>1.1143581916133525E-2</v>
      </c>
      <c r="Y12" s="135">
        <f t="shared" si="6"/>
        <v>1.1374897112699924E-2</v>
      </c>
      <c r="Z12" s="135">
        <f t="shared" si="6"/>
        <v>1.4480965868007916E-2</v>
      </c>
      <c r="AA12" s="135">
        <f t="shared" si="6"/>
        <v>1.2138127346872855E-2</v>
      </c>
      <c r="AB12" s="135">
        <f t="shared" si="6"/>
        <v>1.5959949290170122E-2</v>
      </c>
      <c r="AC12" s="135">
        <f t="shared" si="6"/>
        <v>3.0708952019293485E-2</v>
      </c>
      <c r="AE12" s="135">
        <f>-(AE45*AE$4)/AVERAGE(C24:E24)</f>
        <v>2.0078397315328539E-2</v>
      </c>
      <c r="AF12" s="135">
        <f>-(AF45*AF$4)/AVERAGE(G24:I24)</f>
        <v>4.1901828681424447E-2</v>
      </c>
      <c r="AG12" s="135">
        <f>-(AG45*AG$4)/AVERAGE(K24:M24)</f>
        <v>-7.0300983961800612E-3</v>
      </c>
      <c r="AH12" s="135">
        <f>-(AH45*AH$4)/AVERAGE(O24:Q24)</f>
        <v>1.2369738919459838E-2</v>
      </c>
      <c r="AI12" s="135">
        <f>-(AI45*AI$4)/AVERAGE(S24:U24)</f>
        <v>1.5940888062635678E-2</v>
      </c>
      <c r="AJ12" s="135">
        <f>-(AJ45*AJ$4)/AVERAGE(W24:Y24)</f>
        <v>1.1246867333464495E-2</v>
      </c>
      <c r="AK12" s="135">
        <f>-(AK45*AK$4)/AVERAGE(AA24:AC24)</f>
        <v>2.344375979965499E-2</v>
      </c>
      <c r="AM12" s="135">
        <f>-(AM45*AM$4)/AVERAGE(C24:F24)</f>
        <v>1.7093462513283121E-2</v>
      </c>
      <c r="AN12" s="135">
        <f>-(AN45*AN$4)/AVERAGE(G24:J24)</f>
        <v>3.9067460402009625E-2</v>
      </c>
      <c r="AO12" s="135">
        <f>-(AO45*AO$4)/AVERAGE(K24:N24)</f>
        <v>-9.1152813029821091E-4</v>
      </c>
      <c r="AP12" s="135">
        <f>-(AP45*AP$4)/AVERAGE(O24:R24)</f>
        <v>1.1516163101504341E-2</v>
      </c>
      <c r="AQ12" s="135">
        <f>-(AQ45*AQ$4)/AVERAGE(S24:V24)</f>
        <v>1.4271486305724007E-2</v>
      </c>
      <c r="AR12" s="135">
        <f>-(AR45*AR$4)/AVERAGE(W24:Z24)</f>
        <v>1.2397704137074052E-2</v>
      </c>
      <c r="AT12" s="135">
        <f>-(AT45*AT$4)/AVERAGE(C24:G24)</f>
        <v>2.1405922459609969E-2</v>
      </c>
      <c r="AU12" s="135">
        <f>-(AU45*AU$4)/AVERAGE(G24:K24)</f>
        <v>3.1501858503547239E-2</v>
      </c>
      <c r="AV12" s="135">
        <f>-(AV45*AV$4)/AVERAGE(K24:O24)</f>
        <v>7.2597340934636516E-4</v>
      </c>
      <c r="AW12" s="135">
        <f>-(AW45*AW$4)/AVERAGE(O24:S24)</f>
        <v>1.2026445062786726E-2</v>
      </c>
      <c r="AX12" s="135">
        <f>-(AX45*AX$4)/AVERAGE(S24:W24)</f>
        <v>9.0534760207881815E-3</v>
      </c>
      <c r="AY12" s="135">
        <f>-(AY45*AY$4)/AVERAGE(W24:AA24)</f>
        <v>1.2358180039004541E-2</v>
      </c>
    </row>
    <row r="13" spans="1:52" s="206" customFormat="1" x14ac:dyDescent="0.2">
      <c r="A13" s="167"/>
      <c r="B13" s="199" t="s">
        <v>243</v>
      </c>
      <c r="C13" s="200"/>
      <c r="D13" s="200">
        <f t="shared" ref="D13:AC13" si="7">-(D46*D$4)/AVERAGE(C21:D21)</f>
        <v>1.8704989504279023E-2</v>
      </c>
      <c r="E13" s="200">
        <f t="shared" si="7"/>
        <v>3.2385976350650506E-2</v>
      </c>
      <c r="F13" s="200">
        <f t="shared" si="7"/>
        <v>2.0394034208308959E-2</v>
      </c>
      <c r="G13" s="200">
        <f t="shared" si="7"/>
        <v>2.5957352911676796E-2</v>
      </c>
      <c r="H13" s="200">
        <f t="shared" si="7"/>
        <v>2.5848642269108359E-2</v>
      </c>
      <c r="I13" s="200">
        <f t="shared" si="7"/>
        <v>6.6281302829885966E-2</v>
      </c>
      <c r="J13" s="200">
        <f t="shared" si="7"/>
        <v>3.4516410704196414E-2</v>
      </c>
      <c r="K13" s="200">
        <f t="shared" si="7"/>
        <v>1.0774435369366819E-2</v>
      </c>
      <c r="L13" s="200">
        <f t="shared" si="7"/>
        <v>-1.3764811888450689E-3</v>
      </c>
      <c r="M13" s="200">
        <f t="shared" si="7"/>
        <v>-1.429860365198711E-2</v>
      </c>
      <c r="N13" s="200">
        <f t="shared" si="7"/>
        <v>1.195557993306783E-2</v>
      </c>
      <c r="O13" s="200">
        <f t="shared" si="7"/>
        <v>3.2404168354383768E-3</v>
      </c>
      <c r="P13" s="200">
        <f t="shared" si="7"/>
        <v>5.3100142232523836E-3</v>
      </c>
      <c r="Q13" s="200">
        <f t="shared" si="7"/>
        <v>8.1774228170540149E-3</v>
      </c>
      <c r="R13" s="200">
        <f t="shared" si="7"/>
        <v>9.5789160291509714E-3</v>
      </c>
      <c r="S13" s="200">
        <f t="shared" si="7"/>
        <v>1.2940493985555511E-2</v>
      </c>
      <c r="T13" s="200">
        <f t="shared" si="7"/>
        <v>1.6516599943268054E-2</v>
      </c>
      <c r="U13" s="200">
        <f t="shared" si="7"/>
        <v>1.9377004360865521E-2</v>
      </c>
      <c r="V13" s="200">
        <f t="shared" si="7"/>
        <v>1.6585586504476779E-2</v>
      </c>
      <c r="W13" s="200">
        <f t="shared" si="7"/>
        <v>2.6001627047920063E-2</v>
      </c>
      <c r="X13" s="200">
        <f t="shared" si="7"/>
        <v>1.3946986863924848E-2</v>
      </c>
      <c r="Y13" s="200">
        <f t="shared" si="7"/>
        <v>1.5988665025864018E-2</v>
      </c>
      <c r="Z13" s="200">
        <f t="shared" si="7"/>
        <v>1.8436713947780421E-2</v>
      </c>
      <c r="AA13" s="200">
        <f t="shared" si="7"/>
        <v>1.7497482652790362E-2</v>
      </c>
      <c r="AB13" s="200">
        <f t="shared" si="7"/>
        <v>2.7330831718279658E-2</v>
      </c>
      <c r="AC13" s="200">
        <f t="shared" si="7"/>
        <v>4.5810722177735838E-2</v>
      </c>
      <c r="AD13" s="129"/>
      <c r="AE13" s="200">
        <f>-(AE46*AE$4)/AVERAGE(C21:E21)</f>
        <v>2.5729093572650834E-2</v>
      </c>
      <c r="AF13" s="200">
        <f>-(AF46*AF$4)/AVERAGE(G21:I21)</f>
        <v>4.6300884955752214E-2</v>
      </c>
      <c r="AG13" s="200">
        <f>-(AG46*AG$4)/AVERAGE(K21:M21)</f>
        <v>-7.9733985879708227E-3</v>
      </c>
      <c r="AH13" s="200">
        <f>-(AH46*AH$4)/AVERAGE(O21:Q21)</f>
        <v>6.7565389203354783E-3</v>
      </c>
      <c r="AI13" s="200">
        <f>-(AI46*AI$4)/AVERAGE(S21:U21)</f>
        <v>1.783426545255265E-2</v>
      </c>
      <c r="AJ13" s="200">
        <f>-(AJ46*AJ$4)/AVERAGE(W21:Y21)</f>
        <v>1.4972505094945621E-2</v>
      </c>
      <c r="AK13" s="200">
        <f>-(AK46*AK$4)/AVERAGE(AA21:AC21)</f>
        <v>3.6758607016706253E-2</v>
      </c>
      <c r="AM13" s="200">
        <f>-(AM46*AM$4)/AVERAGE(C21:F21)</f>
        <v>2.376248458662852E-2</v>
      </c>
      <c r="AN13" s="200">
        <f>-(AN46*AN$4)/AVERAGE(G21:J21)</f>
        <v>4.2093825705648909E-2</v>
      </c>
      <c r="AO13" s="200">
        <f>-(AO46*AO$4)/AVERAGE(K21:N21)</f>
        <v>-8.8051459304774459E-4</v>
      </c>
      <c r="AP13" s="200">
        <f>-(AP46*AP$4)/AVERAGE(O21:R21)</f>
        <v>7.7158388588822249E-3</v>
      </c>
      <c r="AQ13" s="200">
        <f>-(AQ46*AQ$4)/AVERAGE(S21:V21)</f>
        <v>1.7305775584008972E-2</v>
      </c>
      <c r="AR13" s="200">
        <f>-(AR46*AR$4)/AVERAGE(W21:Z21)</f>
        <v>1.6147226089035641E-2</v>
      </c>
      <c r="AS13" s="230"/>
      <c r="AT13" s="200">
        <f>-(AT46*AT$4)/AVERAGE(C21:G21)</f>
        <v>2.4452885034202444E-2</v>
      </c>
      <c r="AU13" s="200">
        <f>-(AU46*AU$4)/AVERAGE(G21:K21)</f>
        <v>3.413636046184599E-2</v>
      </c>
      <c r="AV13" s="200">
        <f>-(AV46*AV$4)/AVERAGE(K21:O21)</f>
        <v>2.6092373525373201E-4</v>
      </c>
      <c r="AW13" s="200">
        <f>-(AW46*AW$4)/AVERAGE(O21:S21)</f>
        <v>9.1178811780881393E-3</v>
      </c>
      <c r="AX13" s="200">
        <f>-(AX46*AX$4)/AVERAGE(S21:W21)</f>
        <v>1.2231333248191359E-2</v>
      </c>
      <c r="AY13" s="200">
        <f>-(AY46*AY$4)/AVERAGE(W21:AA21)</f>
        <v>1.6648781419067941E-2</v>
      </c>
    </row>
    <row r="14" spans="1:52" s="206" customFormat="1" x14ac:dyDescent="0.2">
      <c r="A14" s="167"/>
      <c r="B14" s="199" t="s">
        <v>42</v>
      </c>
      <c r="C14" s="200"/>
      <c r="D14" s="200">
        <f t="shared" ref="D14:AC14" si="8">-(D47*D$4)/AVERAGE(C22:D22)</f>
        <v>-3.1300235602316896E-3</v>
      </c>
      <c r="E14" s="200">
        <f t="shared" si="8"/>
        <v>2.7420344390363616E-2</v>
      </c>
      <c r="F14" s="200">
        <f t="shared" si="8"/>
        <v>-1.0085251894924282E-3</v>
      </c>
      <c r="G14" s="200">
        <f t="shared" si="8"/>
        <v>4.2931866041709121E-2</v>
      </c>
      <c r="H14" s="200">
        <f t="shared" si="8"/>
        <v>3.252644220334814E-2</v>
      </c>
      <c r="I14" s="200">
        <f t="shared" si="8"/>
        <v>3.7980441209915852E-2</v>
      </c>
      <c r="J14" s="200">
        <f t="shared" si="8"/>
        <v>3.3405574037519155E-2</v>
      </c>
      <c r="K14" s="200">
        <f t="shared" si="8"/>
        <v>9.6424266773804737E-3</v>
      </c>
      <c r="L14" s="200">
        <f t="shared" si="8"/>
        <v>2.7789034909975105E-3</v>
      </c>
      <c r="M14" s="200">
        <f t="shared" si="8"/>
        <v>-1.3276245477778885E-2</v>
      </c>
      <c r="N14" s="200">
        <f t="shared" si="8"/>
        <v>6.6908977214991984E-3</v>
      </c>
      <c r="O14" s="200">
        <f t="shared" si="8"/>
        <v>5.9759386232725803E-3</v>
      </c>
      <c r="P14" s="200">
        <f t="shared" si="8"/>
        <v>3.4187493875899651E-2</v>
      </c>
      <c r="Q14" s="200">
        <f t="shared" si="8"/>
        <v>1.0417732468909579E-3</v>
      </c>
      <c r="R14" s="200">
        <f t="shared" si="8"/>
        <v>1.0471761111472251E-2</v>
      </c>
      <c r="S14" s="200">
        <f t="shared" si="8"/>
        <v>1.388236464418151E-2</v>
      </c>
      <c r="T14" s="200">
        <f t="shared" si="8"/>
        <v>1.8117829016934171E-2</v>
      </c>
      <c r="U14" s="200">
        <f t="shared" si="8"/>
        <v>1.0575944174829252E-2</v>
      </c>
      <c r="V14" s="200">
        <f t="shared" si="8"/>
        <v>6.4014755943742965E-3</v>
      </c>
      <c r="W14" s="200">
        <f t="shared" si="8"/>
        <v>1.5131773213374935E-2</v>
      </c>
      <c r="X14" s="200">
        <f t="shared" si="8"/>
        <v>8.1124535089152107E-3</v>
      </c>
      <c r="Y14" s="200">
        <f t="shared" si="8"/>
        <v>6.2027604337824517E-3</v>
      </c>
      <c r="Z14" s="200">
        <f t="shared" si="8"/>
        <v>9.5361143825810363E-3</v>
      </c>
      <c r="AA14" s="200">
        <f t="shared" si="8"/>
        <v>4.8825833736750347E-3</v>
      </c>
      <c r="AB14" s="200">
        <f t="shared" si="8"/>
        <v>2.1694388860502226E-4</v>
      </c>
      <c r="AC14" s="200">
        <f t="shared" si="8"/>
        <v>9.4370608698812128E-3</v>
      </c>
      <c r="AD14" s="129"/>
      <c r="AE14" s="200">
        <f>-(AE47*AE$4)/AVERAGE(C22:E22)</f>
        <v>1.2430156737722582E-2</v>
      </c>
      <c r="AF14" s="200">
        <f>-(AF47*AF$4)/AVERAGE(G22:I22)</f>
        <v>3.5353293413173656E-2</v>
      </c>
      <c r="AG14" s="200">
        <f>-(AG47*AG$4)/AVERAGE(K22:M22)</f>
        <v>-5.9315216057378942E-3</v>
      </c>
      <c r="AH14" s="200">
        <f>-(AH47*AH$4)/AVERAGE(O22:Q22)</f>
        <v>1.7457295997595552E-2</v>
      </c>
      <c r="AI14" s="200">
        <f>-(AI47*AI$4)/AVERAGE(S22:U22)</f>
        <v>1.4175107252557561E-2</v>
      </c>
      <c r="AJ14" s="200">
        <f>-(AJ47*AJ$4)/AVERAGE(W22:Y22)</f>
        <v>7.1203531320875573E-3</v>
      </c>
      <c r="AK14" s="200">
        <f>-(AK47*AK$4)/AVERAGE(AA22:AC22)</f>
        <v>4.8707070897101848E-3</v>
      </c>
      <c r="AM14" s="200">
        <f>-(AM47*AM$4)/AVERAGE(C22:F22)</f>
        <v>7.7876714289804453E-3</v>
      </c>
      <c r="AN14" s="200">
        <f>-(AN47*AN$4)/AVERAGE(G22:J22)</f>
        <v>3.4568180319685025E-2</v>
      </c>
      <c r="AO14" s="200">
        <f>-(AO47*AO$4)/AVERAGE(K22:N22)</f>
        <v>-9.4571473012910242E-4</v>
      </c>
      <c r="AP14" s="200">
        <f>-(AP47*AP$4)/AVERAGE(O22:R22)</f>
        <v>1.4962169514579612E-2</v>
      </c>
      <c r="AQ14" s="200">
        <f>-(AQ47*AQ$4)/AVERAGE(S22:V22)</f>
        <v>1.1346469302937761E-2</v>
      </c>
      <c r="AR14" s="200">
        <f>-(AR47*AR$4)/AVERAGE(W22:Z22)</f>
        <v>8.0006123914660842E-3</v>
      </c>
      <c r="AS14" s="230"/>
      <c r="AT14" s="200">
        <f>-(AT47*AT$4)/AVERAGE(C22:G22)</f>
        <v>1.7086086358327868E-2</v>
      </c>
      <c r="AU14" s="200">
        <f>-(AU47*AU$4)/AVERAGE(G22:K22)</f>
        <v>2.7683781188706551E-2</v>
      </c>
      <c r="AV14" s="200">
        <f>-(AV47*AV$4)/AVERAGE(K22:O22)</f>
        <v>1.21329152319352E-3</v>
      </c>
      <c r="AW14" s="200">
        <f>-(AW47*AW$4)/AVERAGE(O22:S22)</f>
        <v>1.4654998156977919E-2</v>
      </c>
      <c r="AX14" s="200">
        <f>-(AX47*AX$4)/AVERAGE(S22:W22)</f>
        <v>5.9060207929135192E-3</v>
      </c>
      <c r="AY14" s="200">
        <f>-(AY47*AY$4)/AVERAGE(W22:AA22)</f>
        <v>7.134879372402779E-3</v>
      </c>
    </row>
    <row r="15" spans="1:52" x14ac:dyDescent="0.2">
      <c r="B15" s="220" t="s">
        <v>351</v>
      </c>
      <c r="C15" s="135"/>
      <c r="D15" s="135">
        <f>-(D48*D$4)/AVERAGE(C33:D33)</f>
        <v>8.6307261822415413E-3</v>
      </c>
      <c r="E15" s="135">
        <f>-(E48*E$4)/AVERAGE(D34:E34)</f>
        <v>5.6890767187234119E-3</v>
      </c>
      <c r="F15" s="135">
        <f>-(F48*F$4)/AVERAGE(E34:F34)</f>
        <v>1.7832966931721338E-2</v>
      </c>
      <c r="G15" s="135">
        <f>-(G48*G$4)/AVERAGE(F34:G34)</f>
        <v>3.6293567203986563E-3</v>
      </c>
      <c r="H15" s="135">
        <f t="shared" ref="H15:AC15" si="9">-(H50*H$4)/AVERAGE(G34:H34)</f>
        <v>1.9771505431800271E-2</v>
      </c>
      <c r="I15" s="135">
        <f t="shared" si="9"/>
        <v>1.3880163929522271E-2</v>
      </c>
      <c r="J15" s="135">
        <f t="shared" si="9"/>
        <v>7.0100425896947012E-3</v>
      </c>
      <c r="K15" s="136">
        <f t="shared" si="9"/>
        <v>7.4008403037428205E-3</v>
      </c>
      <c r="L15" s="136">
        <f t="shared" si="9"/>
        <v>1.9040035830699943E-2</v>
      </c>
      <c r="M15" s="136">
        <f t="shared" si="9"/>
        <v>2.0958165254045234E-2</v>
      </c>
      <c r="N15" s="136">
        <f t="shared" si="9"/>
        <v>2.8981430103787415E-2</v>
      </c>
      <c r="O15" s="136">
        <f t="shared" si="9"/>
        <v>4.9314262069858276E-2</v>
      </c>
      <c r="P15" s="136">
        <f t="shared" si="9"/>
        <v>8.606875789064776E-2</v>
      </c>
      <c r="Q15" s="136">
        <f t="shared" si="9"/>
        <v>1.3026864018887087E-2</v>
      </c>
      <c r="R15" s="136">
        <f t="shared" si="9"/>
        <v>3.7381875759985618E-2</v>
      </c>
      <c r="S15" s="136">
        <f t="shared" si="9"/>
        <v>1.5942526184085728E-2</v>
      </c>
      <c r="T15" s="136">
        <f t="shared" si="9"/>
        <v>2.7078016802099852E-2</v>
      </c>
      <c r="U15" s="136">
        <f t="shared" si="9"/>
        <v>1.3848137230689755E-2</v>
      </c>
      <c r="V15" s="136">
        <f t="shared" si="9"/>
        <v>7.0963852395187019E-3</v>
      </c>
      <c r="W15" s="136">
        <f t="shared" si="9"/>
        <v>3.6825522132700302E-2</v>
      </c>
      <c r="X15" s="136">
        <f t="shared" si="9"/>
        <v>1.5085238173546017E-2</v>
      </c>
      <c r="Y15" s="136">
        <f t="shared" si="9"/>
        <v>8.7204563007319807E-3</v>
      </c>
      <c r="Z15" s="136">
        <f t="shared" si="9"/>
        <v>1.4760505487273336E-2</v>
      </c>
      <c r="AA15" s="136">
        <f t="shared" si="9"/>
        <v>1.4754977135489684E-2</v>
      </c>
      <c r="AB15" s="136">
        <f t="shared" si="9"/>
        <v>2.3438262964289203E-3</v>
      </c>
      <c r="AC15" s="136">
        <f t="shared" si="9"/>
        <v>1.6186519557765216E-2</v>
      </c>
      <c r="AD15" s="136"/>
      <c r="AE15" s="135">
        <f>-(AE50*AE$4)/AVERAGE(C34:E34)</f>
        <v>1.3832952467620776E-2</v>
      </c>
      <c r="AF15" s="135">
        <f>-(AF50*AF$4)/AVERAGE(G34:I34)</f>
        <v>1.6594483701846366E-2</v>
      </c>
      <c r="AG15" s="135">
        <f>-(AG50*AG$4)/AVERAGE(K34:M34)</f>
        <v>2.007004210529436E-2</v>
      </c>
      <c r="AH15" s="135">
        <f>-(AH50*AH$4)/AVERAGE(O34:Q34)</f>
        <v>4.9549384971379853E-2</v>
      </c>
      <c r="AI15" s="135">
        <f>-(AI50*AI$4)/AVERAGE(S34:U34)</f>
        <v>2.0368496878871562E-2</v>
      </c>
      <c r="AJ15" s="135">
        <f>-(AJ50*AJ$4)/AVERAGE(W34:Y34)</f>
        <v>1.1823650740492974E-2</v>
      </c>
      <c r="AK15" s="135">
        <f>-(AK50*AK$4)/AVERAGE(AA34:AC34)</f>
        <v>9.2134720368369383E-3</v>
      </c>
      <c r="AL15" s="351"/>
      <c r="AM15" s="135">
        <f>-(AM50*AM$4)/AVERAGE(C34:F34)</f>
        <v>1.5912686487361525E-2</v>
      </c>
      <c r="AN15" s="135">
        <f>-(AN50*AN$4)/AVERAGE(G34:J34)</f>
        <v>1.3348175597296339E-2</v>
      </c>
      <c r="AO15" s="135">
        <f>-(AO50*AO$4)/AVERAGE(K34:N34)</f>
        <v>2.3674825778779177E-2</v>
      </c>
      <c r="AP15" s="135">
        <f>-(AP50*AP$4)/AVERAGE(O34:R34)</f>
        <v>4.4717868175593811E-2</v>
      </c>
      <c r="AQ15" s="135">
        <f>-(AQ50*AQ$4)/AVERAGE(S34:V34)</f>
        <v>1.5517412888495908E-2</v>
      </c>
      <c r="AR15" s="135">
        <f>-(AR50*AR$4)/AVERAGE(W34:Z34)</f>
        <v>1.2892611316515338E-2</v>
      </c>
      <c r="AT15" s="135">
        <f>-(AT50*AT$4)/AVERAGE(C34:G34)</f>
        <v>1.2801929497308922E-2</v>
      </c>
      <c r="AU15" s="136">
        <f>-(AU50*AU$4)/AVERAGE(G34:K34)</f>
        <v>1.1496730367429523E-2</v>
      </c>
      <c r="AV15" s="136">
        <f>-(AV50*AV$4)/AVERAGE(K34:O34)</f>
        <v>3.1564557187717321E-2</v>
      </c>
      <c r="AW15" s="136">
        <f>-(AW50*AW$4)/AVERAGE(O34:S34)</f>
        <v>3.6567129765016582E-2</v>
      </c>
      <c r="AX15" s="136">
        <f>-(AX50*AX$4)/AVERAGE(S34:W34)</f>
        <v>1.2229872391254974E-2</v>
      </c>
      <c r="AY15" s="136">
        <f>-(AY50*AY$4)/AVERAGE(W34:AA34)</f>
        <v>1.3329376248017354E-2</v>
      </c>
    </row>
    <row r="17" spans="1:51" x14ac:dyDescent="0.2">
      <c r="B17" s="176" t="s">
        <v>336</v>
      </c>
      <c r="C17" s="179"/>
      <c r="D17" s="179"/>
      <c r="E17" s="195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E17" s="179"/>
      <c r="AF17" s="179"/>
      <c r="AG17" s="179"/>
      <c r="AH17" s="179"/>
      <c r="AI17" s="179"/>
      <c r="AJ17" s="179"/>
      <c r="AK17" s="179"/>
      <c r="AM17" s="179"/>
      <c r="AN17" s="179"/>
      <c r="AO17" s="179"/>
      <c r="AP17" s="179"/>
      <c r="AQ17" s="179"/>
      <c r="AR17" s="179"/>
      <c r="AT17" s="179"/>
      <c r="AU17" s="179"/>
      <c r="AV17" s="179"/>
      <c r="AW17" s="179"/>
      <c r="AX17" s="179"/>
      <c r="AY17" s="179"/>
    </row>
    <row r="19" spans="1:51" x14ac:dyDescent="0.2">
      <c r="B19" s="197" t="s">
        <v>235</v>
      </c>
      <c r="C19" s="28">
        <v>47609</v>
      </c>
      <c r="D19" s="28">
        <v>48669</v>
      </c>
      <c r="E19" s="28">
        <v>51045</v>
      </c>
      <c r="F19" s="28">
        <v>55198</v>
      </c>
      <c r="G19" s="28">
        <v>60947</v>
      </c>
      <c r="H19" s="28">
        <f>Sovcombank!AC185</f>
        <v>64714</v>
      </c>
      <c r="I19" s="28">
        <f>Sovcombank!AD185</f>
        <v>63412</v>
      </c>
      <c r="J19" s="28">
        <f>Sovcombank!AE185</f>
        <v>65944</v>
      </c>
      <c r="K19" s="28">
        <f>Sovcombank!AF185</f>
        <v>68547</v>
      </c>
      <c r="L19" s="28">
        <f>Sovcombank!AG185</f>
        <v>71673</v>
      </c>
      <c r="M19" s="28">
        <f>Sovcombank!AH185</f>
        <v>88129</v>
      </c>
      <c r="N19" s="28">
        <f>Sovcombank!AI185</f>
        <v>96766</v>
      </c>
      <c r="O19" s="28">
        <f>Sovcombank!AJ185</f>
        <v>136250</v>
      </c>
      <c r="P19" s="28">
        <f>Sovcombank!AK185</f>
        <v>137423</v>
      </c>
      <c r="Q19" s="28">
        <f>Sovcombank!AL185</f>
        <v>139223</v>
      </c>
      <c r="R19" s="28">
        <f>Sovcombank!AM185</f>
        <v>145082</v>
      </c>
      <c r="S19" s="28">
        <f>Sovcombank!AN185</f>
        <v>148990</v>
      </c>
      <c r="T19" s="28">
        <f>Sovcombank!AO185</f>
        <v>149554</v>
      </c>
      <c r="U19" s="28">
        <f>Sovcombank!AP185</f>
        <v>170854</v>
      </c>
      <c r="V19" s="28">
        <f>Sovcombank!AQ185</f>
        <v>174851</v>
      </c>
      <c r="W19" s="28">
        <f>Sovcombank!AR185</f>
        <v>178010</v>
      </c>
      <c r="X19" s="28">
        <f>Sovcombank!AS185</f>
        <v>361928</v>
      </c>
      <c r="Y19" s="28">
        <f>Sovcombank!AT185</f>
        <v>368150</v>
      </c>
      <c r="Z19" s="28">
        <f>Sovcombank!AU185</f>
        <v>357357</v>
      </c>
      <c r="AA19" s="28">
        <f>Sovcombank!AV185</f>
        <v>356656</v>
      </c>
      <c r="AB19" s="28">
        <f>Sovcombank!AW185</f>
        <v>350958</v>
      </c>
      <c r="AC19" s="28">
        <f>Sovcombank!AX185</f>
        <v>336177</v>
      </c>
      <c r="AE19" s="28">
        <f t="shared" ref="AE19:AE22" si="10">E19</f>
        <v>51045</v>
      </c>
      <c r="AF19" s="28">
        <f t="shared" ref="AF19:AF22" si="11">I19</f>
        <v>63412</v>
      </c>
      <c r="AG19" s="28">
        <f t="shared" ref="AG19:AG22" si="12">M19</f>
        <v>88129</v>
      </c>
      <c r="AH19" s="28">
        <f t="shared" ref="AH19:AH25" si="13">Q19</f>
        <v>139223</v>
      </c>
      <c r="AI19" s="28">
        <f t="shared" ref="AI19:AI25" si="14">U19</f>
        <v>170854</v>
      </c>
      <c r="AJ19" s="28">
        <f>Y19</f>
        <v>368150</v>
      </c>
      <c r="AK19" s="28">
        <f>AC19</f>
        <v>336177</v>
      </c>
      <c r="AM19" s="28">
        <f t="shared" ref="AM19:AM22" si="15">F19</f>
        <v>55198</v>
      </c>
      <c r="AN19" s="28">
        <f t="shared" ref="AN19:AN22" si="16">J19</f>
        <v>65944</v>
      </c>
      <c r="AO19" s="28">
        <f t="shared" ref="AO19:AO25" si="17">N19</f>
        <v>96766</v>
      </c>
      <c r="AP19" s="28">
        <f t="shared" ref="AP19:AP25" si="18">R19</f>
        <v>145082</v>
      </c>
      <c r="AQ19" s="28">
        <f t="shared" ref="AQ19:AQ25" si="19">V19</f>
        <v>174851</v>
      </c>
      <c r="AR19" s="28">
        <f>Z19</f>
        <v>357357</v>
      </c>
      <c r="AT19" s="28">
        <f t="shared" ref="AT19:AT22" si="20">G19</f>
        <v>60947</v>
      </c>
      <c r="AU19" s="28">
        <f t="shared" ref="AU19:AU22" si="21">K19</f>
        <v>68547</v>
      </c>
      <c r="AV19" s="28">
        <f t="shared" ref="AV19:AV22" si="22">O19</f>
        <v>136250</v>
      </c>
      <c r="AW19" s="28">
        <f t="shared" ref="AW19:AW25" si="23">S19</f>
        <v>148990</v>
      </c>
      <c r="AX19" s="28">
        <f t="shared" ref="AX19:AX25" si="24">W19</f>
        <v>178010</v>
      </c>
      <c r="AY19" s="28">
        <f>AA19</f>
        <v>356656</v>
      </c>
    </row>
    <row r="20" spans="1:51" x14ac:dyDescent="0.2">
      <c r="B20" s="197" t="s">
        <v>236</v>
      </c>
      <c r="C20" s="28">
        <v>20303</v>
      </c>
      <c r="D20" s="28">
        <v>26601</v>
      </c>
      <c r="E20" s="28">
        <v>32663</v>
      </c>
      <c r="F20" s="28">
        <v>38252</v>
      </c>
      <c r="G20" s="28">
        <v>43206</v>
      </c>
      <c r="H20" s="28">
        <f>Sovcombank!AC186</f>
        <v>46175</v>
      </c>
      <c r="I20" s="28">
        <f>Sovcombank!AD186</f>
        <v>47279</v>
      </c>
      <c r="J20" s="28">
        <f>Sovcombank!AE186</f>
        <v>57895</v>
      </c>
      <c r="K20" s="28">
        <f>Sovcombank!AF186</f>
        <v>60915</v>
      </c>
      <c r="L20" s="28">
        <f>Sovcombank!AG186</f>
        <v>64061</v>
      </c>
      <c r="M20" s="28">
        <f>Sovcombank!AH186</f>
        <v>125009</v>
      </c>
      <c r="N20" s="28">
        <f>Sovcombank!AI186</f>
        <v>127099</v>
      </c>
      <c r="O20" s="28">
        <f>Sovcombank!AJ186</f>
        <v>106705</v>
      </c>
      <c r="P20" s="28">
        <f>Sovcombank!AK186</f>
        <v>110135</v>
      </c>
      <c r="Q20" s="28">
        <f>Sovcombank!AL186</f>
        <v>117642</v>
      </c>
      <c r="R20" s="28">
        <f>Sovcombank!AM186</f>
        <v>124700</v>
      </c>
      <c r="S20" s="28">
        <f>Sovcombank!AN186</f>
        <v>125204</v>
      </c>
      <c r="T20" s="28">
        <f>Sovcombank!AO186</f>
        <v>135169</v>
      </c>
      <c r="U20" s="28">
        <f>Sovcombank!AP186</f>
        <v>126119</v>
      </c>
      <c r="V20" s="28">
        <f>Sovcombank!AQ186</f>
        <v>128804</v>
      </c>
      <c r="W20" s="28">
        <f>Sovcombank!AR186</f>
        <v>135377</v>
      </c>
      <c r="X20" s="28">
        <f>Sovcombank!AS186</f>
        <v>155251</v>
      </c>
      <c r="Y20" s="28">
        <f>Sovcombank!AT186</f>
        <v>158117</v>
      </c>
      <c r="Z20" s="28">
        <f>Sovcombank!AU186</f>
        <v>164365</v>
      </c>
      <c r="AA20" s="28">
        <f>Sovcombank!AV186</f>
        <v>172914</v>
      </c>
      <c r="AB20" s="28">
        <f>Sovcombank!AW186</f>
        <v>177094</v>
      </c>
      <c r="AC20" s="28">
        <f>Sovcombank!AX186</f>
        <v>179965</v>
      </c>
      <c r="AE20" s="28">
        <f t="shared" si="10"/>
        <v>32663</v>
      </c>
      <c r="AF20" s="28">
        <f t="shared" si="11"/>
        <v>47279</v>
      </c>
      <c r="AG20" s="28">
        <f t="shared" si="12"/>
        <v>125009</v>
      </c>
      <c r="AH20" s="28">
        <f t="shared" si="13"/>
        <v>117642</v>
      </c>
      <c r="AI20" s="28">
        <f t="shared" si="14"/>
        <v>126119</v>
      </c>
      <c r="AJ20" s="28">
        <f t="shared" ref="AJ20:AJ36" si="25">Y20</f>
        <v>158117</v>
      </c>
      <c r="AK20" s="28">
        <f t="shared" ref="AK20:AK36" si="26">AC20</f>
        <v>179965</v>
      </c>
      <c r="AM20" s="28">
        <f t="shared" si="15"/>
        <v>38252</v>
      </c>
      <c r="AN20" s="28">
        <f t="shared" si="16"/>
        <v>57895</v>
      </c>
      <c r="AO20" s="28">
        <f t="shared" si="17"/>
        <v>127099</v>
      </c>
      <c r="AP20" s="28">
        <f t="shared" si="18"/>
        <v>124700</v>
      </c>
      <c r="AQ20" s="28">
        <f t="shared" si="19"/>
        <v>128804</v>
      </c>
      <c r="AR20" s="28">
        <f t="shared" ref="AR20:AR36" si="27">Z20</f>
        <v>164365</v>
      </c>
      <c r="AT20" s="28">
        <f t="shared" si="20"/>
        <v>43206</v>
      </c>
      <c r="AU20" s="28">
        <f t="shared" si="21"/>
        <v>60915</v>
      </c>
      <c r="AV20" s="28">
        <f t="shared" si="22"/>
        <v>106705</v>
      </c>
      <c r="AW20" s="28">
        <f t="shared" si="23"/>
        <v>125204</v>
      </c>
      <c r="AX20" s="28">
        <f t="shared" si="24"/>
        <v>135377</v>
      </c>
      <c r="AY20" s="28">
        <f t="shared" ref="AY20:AY36" si="28">AA20</f>
        <v>172914</v>
      </c>
    </row>
    <row r="21" spans="1:51" x14ac:dyDescent="0.2">
      <c r="B21" s="197" t="s">
        <v>242</v>
      </c>
      <c r="C21" s="28">
        <v>74978</v>
      </c>
      <c r="D21" s="28">
        <v>79847</v>
      </c>
      <c r="E21" s="28">
        <v>88868</v>
      </c>
      <c r="F21" s="28">
        <v>97461</v>
      </c>
      <c r="G21" s="28">
        <v>101943</v>
      </c>
      <c r="H21" s="28">
        <f>Sovcombank!AC183</f>
        <v>104799</v>
      </c>
      <c r="I21" s="28">
        <f>Sovcombank!AD183</f>
        <v>104008</v>
      </c>
      <c r="J21" s="28">
        <f>Sovcombank!AE183</f>
        <v>110151</v>
      </c>
      <c r="K21" s="28">
        <f>Sovcombank!AF183</f>
        <v>108886</v>
      </c>
      <c r="L21" s="28">
        <f>Sovcombank!AG183</f>
        <v>111967</v>
      </c>
      <c r="M21" s="28">
        <f>Sovcombank!AH183</f>
        <v>120783</v>
      </c>
      <c r="N21" s="28">
        <f>Sovcombank!AI183</f>
        <v>130815</v>
      </c>
      <c r="O21" s="28">
        <f>Sovcombank!AJ183</f>
        <v>140755</v>
      </c>
      <c r="P21" s="28">
        <f>Sovcombank!AK183</f>
        <v>143990</v>
      </c>
      <c r="Q21" s="28">
        <f>Sovcombank!AL183</f>
        <v>149501</v>
      </c>
      <c r="R21" s="28">
        <f>Sovcombank!AM183</f>
        <v>159511</v>
      </c>
      <c r="S21" s="28">
        <f>Sovcombank!AN183</f>
        <v>166288</v>
      </c>
      <c r="T21" s="28">
        <f>Sovcombank!AO183</f>
        <v>175671</v>
      </c>
      <c r="U21" s="28">
        <f>Sovcombank!AP183</f>
        <v>209115</v>
      </c>
      <c r="V21" s="28">
        <f>Sovcombank!AQ183</f>
        <v>241879</v>
      </c>
      <c r="W21" s="28">
        <f>Sovcombank!AR183</f>
        <v>271935</v>
      </c>
      <c r="X21" s="28">
        <f>Sovcombank!AS183</f>
        <v>303960</v>
      </c>
      <c r="Y21" s="28">
        <f>Sovcombank!AT183</f>
        <v>351004</v>
      </c>
      <c r="Z21" s="28">
        <f>Sovcombank!AU183</f>
        <v>436555</v>
      </c>
      <c r="AA21" s="28">
        <f>Sovcombank!AV183</f>
        <v>475119</v>
      </c>
      <c r="AB21" s="28">
        <f>Sovcombank!AW183</f>
        <v>494921</v>
      </c>
      <c r="AC21" s="28">
        <f>Sovcombank!AX183</f>
        <v>512878</v>
      </c>
      <c r="AE21" s="28">
        <f t="shared" si="10"/>
        <v>88868</v>
      </c>
      <c r="AF21" s="28">
        <f t="shared" si="11"/>
        <v>104008</v>
      </c>
      <c r="AG21" s="28">
        <f t="shared" si="12"/>
        <v>120783</v>
      </c>
      <c r="AH21" s="28">
        <f t="shared" si="13"/>
        <v>149501</v>
      </c>
      <c r="AI21" s="28">
        <f t="shared" si="14"/>
        <v>209115</v>
      </c>
      <c r="AJ21" s="28">
        <f t="shared" si="25"/>
        <v>351004</v>
      </c>
      <c r="AK21" s="28">
        <f t="shared" si="26"/>
        <v>512878</v>
      </c>
      <c r="AM21" s="28">
        <f t="shared" si="15"/>
        <v>97461</v>
      </c>
      <c r="AN21" s="28">
        <f t="shared" si="16"/>
        <v>110151</v>
      </c>
      <c r="AO21" s="28">
        <f t="shared" si="17"/>
        <v>130815</v>
      </c>
      <c r="AP21" s="28">
        <f t="shared" si="18"/>
        <v>159511</v>
      </c>
      <c r="AQ21" s="28">
        <f t="shared" si="19"/>
        <v>241879</v>
      </c>
      <c r="AR21" s="28">
        <f t="shared" si="27"/>
        <v>436555</v>
      </c>
      <c r="AT21" s="28">
        <f t="shared" si="20"/>
        <v>101943</v>
      </c>
      <c r="AU21" s="28">
        <f t="shared" si="21"/>
        <v>108886</v>
      </c>
      <c r="AV21" s="28">
        <f t="shared" si="22"/>
        <v>140755</v>
      </c>
      <c r="AW21" s="28">
        <f t="shared" si="23"/>
        <v>166288</v>
      </c>
      <c r="AX21" s="28">
        <f t="shared" si="24"/>
        <v>271935</v>
      </c>
      <c r="AY21" s="28">
        <f t="shared" si="28"/>
        <v>475119</v>
      </c>
    </row>
    <row r="22" spans="1:51" x14ac:dyDescent="0.2">
      <c r="B22" s="197" t="s">
        <v>42</v>
      </c>
      <c r="C22" s="28">
        <v>57801</v>
      </c>
      <c r="D22" s="28">
        <v>59770</v>
      </c>
      <c r="E22" s="28">
        <v>62475</v>
      </c>
      <c r="F22" s="28">
        <v>64443</v>
      </c>
      <c r="G22" s="28">
        <v>68046</v>
      </c>
      <c r="H22" s="28">
        <f>Sovcombank!AC184</f>
        <v>70180</v>
      </c>
      <c r="I22" s="28">
        <f>Sovcombank!AD184</f>
        <v>70524</v>
      </c>
      <c r="J22" s="28">
        <f>Sovcombank!AE184</f>
        <v>74362</v>
      </c>
      <c r="K22" s="28">
        <f>Sovcombank!AF184</f>
        <v>82445</v>
      </c>
      <c r="L22" s="28">
        <f>Sovcombank!AG184</f>
        <v>90285</v>
      </c>
      <c r="M22" s="28">
        <f>Sovcombank!AH184</f>
        <v>120618</v>
      </c>
      <c r="N22" s="28">
        <f>Sovcombank!AI184</f>
        <v>135252</v>
      </c>
      <c r="O22" s="28">
        <f>Sovcombank!AJ184</f>
        <v>156585</v>
      </c>
      <c r="P22" s="28">
        <f>Sovcombank!AK184</f>
        <v>159788</v>
      </c>
      <c r="Q22" s="28">
        <f>Sovcombank!AL184</f>
        <v>162739</v>
      </c>
      <c r="R22" s="28">
        <f>Sovcombank!AM184</f>
        <v>175695</v>
      </c>
      <c r="S22" s="28">
        <f>Sovcombank!AN184</f>
        <v>186203</v>
      </c>
      <c r="T22" s="28">
        <f>Sovcombank!AO184</f>
        <v>193975</v>
      </c>
      <c r="U22" s="28">
        <f>Sovcombank!AP184</f>
        <v>210717</v>
      </c>
      <c r="V22" s="28">
        <f>Sovcombank!AQ184</f>
        <v>231681</v>
      </c>
      <c r="W22" s="28">
        <f>Sovcombank!AR184</f>
        <v>252598</v>
      </c>
      <c r="X22" s="28">
        <f>Sovcombank!AS184</f>
        <v>280031</v>
      </c>
      <c r="Y22" s="28">
        <f>Sovcombank!AT184</f>
        <v>304225</v>
      </c>
      <c r="Z22" s="28">
        <f>Sovcombank!AU184</f>
        <v>325801</v>
      </c>
      <c r="AA22" s="28">
        <f>Sovcombank!AV184</f>
        <v>347613</v>
      </c>
      <c r="AB22" s="28">
        <f>Sovcombank!AW184</f>
        <v>353029</v>
      </c>
      <c r="AC22" s="28">
        <f>Sovcombank!AX184</f>
        <v>362448</v>
      </c>
      <c r="AE22" s="28">
        <f t="shared" si="10"/>
        <v>62475</v>
      </c>
      <c r="AF22" s="28">
        <f t="shared" si="11"/>
        <v>70524</v>
      </c>
      <c r="AG22" s="28">
        <f t="shared" si="12"/>
        <v>120618</v>
      </c>
      <c r="AH22" s="28">
        <f t="shared" si="13"/>
        <v>162739</v>
      </c>
      <c r="AI22" s="28">
        <f t="shared" si="14"/>
        <v>210717</v>
      </c>
      <c r="AJ22" s="28">
        <f t="shared" si="25"/>
        <v>304225</v>
      </c>
      <c r="AK22" s="28">
        <f t="shared" si="26"/>
        <v>362448</v>
      </c>
      <c r="AM22" s="28">
        <f t="shared" si="15"/>
        <v>64443</v>
      </c>
      <c r="AN22" s="28">
        <f t="shared" si="16"/>
        <v>74362</v>
      </c>
      <c r="AO22" s="28">
        <f t="shared" si="17"/>
        <v>135252</v>
      </c>
      <c r="AP22" s="28">
        <f t="shared" si="18"/>
        <v>175695</v>
      </c>
      <c r="AQ22" s="28">
        <f t="shared" si="19"/>
        <v>231681</v>
      </c>
      <c r="AR22" s="28">
        <f t="shared" si="27"/>
        <v>325801</v>
      </c>
      <c r="AT22" s="28">
        <f t="shared" si="20"/>
        <v>68046</v>
      </c>
      <c r="AU22" s="28">
        <f t="shared" si="21"/>
        <v>82445</v>
      </c>
      <c r="AV22" s="28">
        <f t="shared" si="22"/>
        <v>156585</v>
      </c>
      <c r="AW22" s="28">
        <f t="shared" si="23"/>
        <v>186203</v>
      </c>
      <c r="AX22" s="28">
        <f t="shared" si="24"/>
        <v>252598</v>
      </c>
      <c r="AY22" s="28">
        <f t="shared" si="28"/>
        <v>347613</v>
      </c>
    </row>
    <row r="23" spans="1:51" s="95" customFormat="1" x14ac:dyDescent="0.2">
      <c r="A23" s="167"/>
      <c r="B23" s="201" t="s">
        <v>104</v>
      </c>
      <c r="C23" s="209">
        <f t="shared" ref="C23:AA23" si="29">SUM(C19:C21,C22)</f>
        <v>200691</v>
      </c>
      <c r="D23" s="209">
        <f t="shared" si="29"/>
        <v>214887</v>
      </c>
      <c r="E23" s="209">
        <f t="shared" si="29"/>
        <v>235051</v>
      </c>
      <c r="F23" s="209">
        <f t="shared" si="29"/>
        <v>255354</v>
      </c>
      <c r="G23" s="209">
        <f t="shared" si="29"/>
        <v>274142</v>
      </c>
      <c r="H23" s="209">
        <f t="shared" si="29"/>
        <v>285868</v>
      </c>
      <c r="I23" s="209">
        <f t="shared" si="29"/>
        <v>285223</v>
      </c>
      <c r="J23" s="209">
        <f t="shared" si="29"/>
        <v>308352</v>
      </c>
      <c r="K23" s="209">
        <f t="shared" si="29"/>
        <v>320793</v>
      </c>
      <c r="L23" s="209">
        <f t="shared" si="29"/>
        <v>337986</v>
      </c>
      <c r="M23" s="209">
        <f t="shared" si="29"/>
        <v>454539</v>
      </c>
      <c r="N23" s="209">
        <f t="shared" si="29"/>
        <v>489932</v>
      </c>
      <c r="O23" s="209">
        <f t="shared" si="29"/>
        <v>540295</v>
      </c>
      <c r="P23" s="209">
        <f t="shared" si="29"/>
        <v>551336</v>
      </c>
      <c r="Q23" s="209">
        <f t="shared" si="29"/>
        <v>569105</v>
      </c>
      <c r="R23" s="209">
        <f t="shared" si="29"/>
        <v>604988</v>
      </c>
      <c r="S23" s="209">
        <f t="shared" si="29"/>
        <v>626685</v>
      </c>
      <c r="T23" s="209">
        <f t="shared" si="29"/>
        <v>654369</v>
      </c>
      <c r="U23" s="209">
        <f t="shared" si="29"/>
        <v>716805</v>
      </c>
      <c r="V23" s="209">
        <f t="shared" si="29"/>
        <v>777215</v>
      </c>
      <c r="W23" s="209">
        <f t="shared" si="29"/>
        <v>837920</v>
      </c>
      <c r="X23" s="209">
        <f t="shared" si="29"/>
        <v>1101170</v>
      </c>
      <c r="Y23" s="209">
        <f t="shared" si="29"/>
        <v>1181496</v>
      </c>
      <c r="Z23" s="209">
        <f t="shared" si="29"/>
        <v>1284078</v>
      </c>
      <c r="AA23" s="209">
        <f t="shared" si="29"/>
        <v>1352302</v>
      </c>
      <c r="AB23" s="209">
        <f t="shared" ref="AB23:AC23" si="30">SUM(AB19:AB21,AB22)</f>
        <v>1376002</v>
      </c>
      <c r="AC23" s="209">
        <f t="shared" si="30"/>
        <v>1391468</v>
      </c>
      <c r="AE23" s="209">
        <f>SUM(AE19:AE21,AE22)</f>
        <v>235051</v>
      </c>
      <c r="AF23" s="209">
        <f>SUM(AF19:AF21,AF22)</f>
        <v>285223</v>
      </c>
      <c r="AG23" s="209">
        <f>SUM(AG19:AG21,AG22)</f>
        <v>454539</v>
      </c>
      <c r="AH23" s="209">
        <f t="shared" si="13"/>
        <v>569105</v>
      </c>
      <c r="AI23" s="209">
        <f t="shared" si="14"/>
        <v>716805</v>
      </c>
      <c r="AJ23" s="209">
        <f t="shared" si="25"/>
        <v>1181496</v>
      </c>
      <c r="AK23" s="209">
        <f t="shared" si="26"/>
        <v>1391468</v>
      </c>
      <c r="AM23" s="209">
        <f>SUM(AM19:AM21,AM22)</f>
        <v>255354</v>
      </c>
      <c r="AN23" s="209">
        <f>SUM(AN19:AN21,AN22)</f>
        <v>308352</v>
      </c>
      <c r="AO23" s="209">
        <f t="shared" si="17"/>
        <v>489932</v>
      </c>
      <c r="AP23" s="209">
        <f t="shared" si="18"/>
        <v>604988</v>
      </c>
      <c r="AQ23" s="209">
        <f t="shared" si="19"/>
        <v>777215</v>
      </c>
      <c r="AR23" s="209">
        <f t="shared" si="27"/>
        <v>1284078</v>
      </c>
      <c r="AS23" s="231"/>
      <c r="AT23" s="209">
        <f>SUM(AT19:AT21,AT22)</f>
        <v>274142</v>
      </c>
      <c r="AU23" s="209">
        <f>SUM(AU19:AU21,AU22)</f>
        <v>320793</v>
      </c>
      <c r="AV23" s="209">
        <f>SUM(AV19:AV21,AV22)</f>
        <v>540295</v>
      </c>
      <c r="AW23" s="209">
        <f t="shared" si="23"/>
        <v>626685</v>
      </c>
      <c r="AX23" s="209">
        <f t="shared" si="24"/>
        <v>837920</v>
      </c>
      <c r="AY23" s="209">
        <f t="shared" si="28"/>
        <v>1352302</v>
      </c>
    </row>
    <row r="24" spans="1:51" s="222" customFormat="1" x14ac:dyDescent="0.2">
      <c r="A24" s="167"/>
      <c r="B24" s="204" t="s">
        <v>207</v>
      </c>
      <c r="C24" s="221">
        <f t="shared" ref="C24:AA24" si="31">C21+C22</f>
        <v>132779</v>
      </c>
      <c r="D24" s="221">
        <f t="shared" si="31"/>
        <v>139617</v>
      </c>
      <c r="E24" s="221">
        <f t="shared" si="31"/>
        <v>151343</v>
      </c>
      <c r="F24" s="221">
        <f t="shared" si="31"/>
        <v>161904</v>
      </c>
      <c r="G24" s="221">
        <f t="shared" si="31"/>
        <v>169989</v>
      </c>
      <c r="H24" s="221">
        <f t="shared" si="31"/>
        <v>174979</v>
      </c>
      <c r="I24" s="221">
        <f t="shared" si="31"/>
        <v>174532</v>
      </c>
      <c r="J24" s="221">
        <f t="shared" si="31"/>
        <v>184513</v>
      </c>
      <c r="K24" s="221">
        <f t="shared" si="31"/>
        <v>191331</v>
      </c>
      <c r="L24" s="221">
        <f t="shared" si="31"/>
        <v>202252</v>
      </c>
      <c r="M24" s="221">
        <f t="shared" si="31"/>
        <v>241401</v>
      </c>
      <c r="N24" s="221">
        <f t="shared" si="31"/>
        <v>266067</v>
      </c>
      <c r="O24" s="221">
        <f t="shared" si="31"/>
        <v>297340</v>
      </c>
      <c r="P24" s="221">
        <f t="shared" si="31"/>
        <v>303778</v>
      </c>
      <c r="Q24" s="221">
        <f t="shared" si="31"/>
        <v>312240</v>
      </c>
      <c r="R24" s="221">
        <f t="shared" si="31"/>
        <v>335206</v>
      </c>
      <c r="S24" s="221">
        <f t="shared" si="31"/>
        <v>352491</v>
      </c>
      <c r="T24" s="221">
        <f t="shared" si="31"/>
        <v>369646</v>
      </c>
      <c r="U24" s="221">
        <f t="shared" si="31"/>
        <v>419832</v>
      </c>
      <c r="V24" s="221">
        <f t="shared" si="31"/>
        <v>473560</v>
      </c>
      <c r="W24" s="221">
        <f t="shared" si="31"/>
        <v>524533</v>
      </c>
      <c r="X24" s="221">
        <f t="shared" si="31"/>
        <v>583991</v>
      </c>
      <c r="Y24" s="221">
        <f t="shared" si="31"/>
        <v>655229</v>
      </c>
      <c r="Z24" s="221">
        <f t="shared" si="31"/>
        <v>762356</v>
      </c>
      <c r="AA24" s="221">
        <f t="shared" si="31"/>
        <v>822732</v>
      </c>
      <c r="AB24" s="221">
        <f t="shared" ref="AB24:AC24" si="32">AB21+AB22</f>
        <v>847950</v>
      </c>
      <c r="AC24" s="221">
        <f t="shared" si="32"/>
        <v>875326</v>
      </c>
      <c r="AE24" s="221">
        <f>E24</f>
        <v>151343</v>
      </c>
      <c r="AF24" s="221">
        <f>I24</f>
        <v>174532</v>
      </c>
      <c r="AG24" s="221">
        <f>M24</f>
        <v>241401</v>
      </c>
      <c r="AH24" s="221">
        <f t="shared" si="13"/>
        <v>312240</v>
      </c>
      <c r="AI24" s="221">
        <f t="shared" si="14"/>
        <v>419832</v>
      </c>
      <c r="AJ24" s="221">
        <f t="shared" si="25"/>
        <v>655229</v>
      </c>
      <c r="AK24" s="221">
        <f t="shared" si="26"/>
        <v>875326</v>
      </c>
      <c r="AM24" s="221">
        <f>F24</f>
        <v>161904</v>
      </c>
      <c r="AN24" s="221">
        <f>J24</f>
        <v>184513</v>
      </c>
      <c r="AO24" s="221">
        <f t="shared" si="17"/>
        <v>266067</v>
      </c>
      <c r="AP24" s="221">
        <f t="shared" si="18"/>
        <v>335206</v>
      </c>
      <c r="AQ24" s="221">
        <f t="shared" si="19"/>
        <v>473560</v>
      </c>
      <c r="AR24" s="221">
        <f t="shared" si="27"/>
        <v>762356</v>
      </c>
      <c r="AS24" s="232"/>
      <c r="AT24" s="221">
        <f>G24</f>
        <v>169989</v>
      </c>
      <c r="AU24" s="221">
        <f>K24</f>
        <v>191331</v>
      </c>
      <c r="AV24" s="221">
        <f>O24</f>
        <v>297340</v>
      </c>
      <c r="AW24" s="221">
        <f t="shared" si="23"/>
        <v>352491</v>
      </c>
      <c r="AX24" s="221">
        <f t="shared" si="24"/>
        <v>524533</v>
      </c>
      <c r="AY24" s="221">
        <f t="shared" si="28"/>
        <v>822732</v>
      </c>
    </row>
    <row r="25" spans="1:51" s="222" customFormat="1" x14ac:dyDescent="0.2">
      <c r="A25" s="167"/>
      <c r="B25" s="204" t="s">
        <v>208</v>
      </c>
      <c r="C25" s="221">
        <f t="shared" ref="C25:AA25" si="33">C19+C20</f>
        <v>67912</v>
      </c>
      <c r="D25" s="221">
        <f t="shared" si="33"/>
        <v>75270</v>
      </c>
      <c r="E25" s="221">
        <f t="shared" si="33"/>
        <v>83708</v>
      </c>
      <c r="F25" s="221">
        <f t="shared" si="33"/>
        <v>93450</v>
      </c>
      <c r="G25" s="221">
        <f t="shared" si="33"/>
        <v>104153</v>
      </c>
      <c r="H25" s="221">
        <f t="shared" si="33"/>
        <v>110889</v>
      </c>
      <c r="I25" s="221">
        <f t="shared" si="33"/>
        <v>110691</v>
      </c>
      <c r="J25" s="221">
        <f t="shared" si="33"/>
        <v>123839</v>
      </c>
      <c r="K25" s="221">
        <f t="shared" si="33"/>
        <v>129462</v>
      </c>
      <c r="L25" s="221">
        <f t="shared" si="33"/>
        <v>135734</v>
      </c>
      <c r="M25" s="221">
        <f t="shared" si="33"/>
        <v>213138</v>
      </c>
      <c r="N25" s="221">
        <f t="shared" si="33"/>
        <v>223865</v>
      </c>
      <c r="O25" s="221">
        <f t="shared" si="33"/>
        <v>242955</v>
      </c>
      <c r="P25" s="221">
        <f t="shared" si="33"/>
        <v>247558</v>
      </c>
      <c r="Q25" s="221">
        <f t="shared" si="33"/>
        <v>256865</v>
      </c>
      <c r="R25" s="221">
        <f t="shared" si="33"/>
        <v>269782</v>
      </c>
      <c r="S25" s="221">
        <f t="shared" si="33"/>
        <v>274194</v>
      </c>
      <c r="T25" s="221">
        <f t="shared" si="33"/>
        <v>284723</v>
      </c>
      <c r="U25" s="221">
        <f t="shared" si="33"/>
        <v>296973</v>
      </c>
      <c r="V25" s="221">
        <f t="shared" si="33"/>
        <v>303655</v>
      </c>
      <c r="W25" s="221">
        <f t="shared" si="33"/>
        <v>313387</v>
      </c>
      <c r="X25" s="221">
        <f t="shared" si="33"/>
        <v>517179</v>
      </c>
      <c r="Y25" s="221">
        <f t="shared" si="33"/>
        <v>526267</v>
      </c>
      <c r="Z25" s="221">
        <f t="shared" si="33"/>
        <v>521722</v>
      </c>
      <c r="AA25" s="221">
        <f t="shared" si="33"/>
        <v>529570</v>
      </c>
      <c r="AB25" s="221">
        <f t="shared" ref="AB25:AC25" si="34">AB19+AB20</f>
        <v>528052</v>
      </c>
      <c r="AC25" s="221">
        <f t="shared" si="34"/>
        <v>516142</v>
      </c>
      <c r="AE25" s="221">
        <f>E25</f>
        <v>83708</v>
      </c>
      <c r="AF25" s="221">
        <f>I25</f>
        <v>110691</v>
      </c>
      <c r="AG25" s="221">
        <f>M25</f>
        <v>213138</v>
      </c>
      <c r="AH25" s="221">
        <f t="shared" si="13"/>
        <v>256865</v>
      </c>
      <c r="AI25" s="221">
        <f t="shared" si="14"/>
        <v>296973</v>
      </c>
      <c r="AJ25" s="221">
        <f t="shared" si="25"/>
        <v>526267</v>
      </c>
      <c r="AK25" s="221">
        <f t="shared" si="26"/>
        <v>516142</v>
      </c>
      <c r="AM25" s="221">
        <f>F25</f>
        <v>93450</v>
      </c>
      <c r="AN25" s="221">
        <f>J25</f>
        <v>123839</v>
      </c>
      <c r="AO25" s="221">
        <f t="shared" si="17"/>
        <v>223865</v>
      </c>
      <c r="AP25" s="221">
        <f t="shared" si="18"/>
        <v>269782</v>
      </c>
      <c r="AQ25" s="221">
        <f t="shared" si="19"/>
        <v>303655</v>
      </c>
      <c r="AR25" s="221">
        <f t="shared" si="27"/>
        <v>521722</v>
      </c>
      <c r="AS25" s="232"/>
      <c r="AT25" s="221">
        <f>G25</f>
        <v>104153</v>
      </c>
      <c r="AU25" s="221">
        <f>K25</f>
        <v>129462</v>
      </c>
      <c r="AV25" s="221">
        <f>O25</f>
        <v>242955</v>
      </c>
      <c r="AW25" s="221">
        <f t="shared" si="23"/>
        <v>274194</v>
      </c>
      <c r="AX25" s="221">
        <f t="shared" si="24"/>
        <v>313387</v>
      </c>
      <c r="AY25" s="221">
        <f t="shared" si="28"/>
        <v>529570</v>
      </c>
    </row>
    <row r="27" spans="1:51" x14ac:dyDescent="0.2">
      <c r="B27" s="197" t="s">
        <v>105</v>
      </c>
      <c r="C27" s="8">
        <v>48145</v>
      </c>
      <c r="D27" s="8">
        <v>45550</v>
      </c>
      <c r="E27" s="8">
        <v>40380</v>
      </c>
      <c r="F27" s="8">
        <v>38040</v>
      </c>
      <c r="G27" s="8">
        <v>35055</v>
      </c>
      <c r="H27" s="8">
        <f>Sovcombank!AC192</f>
        <v>38389</v>
      </c>
      <c r="I27" s="8">
        <f>Sovcombank!AD192</f>
        <v>33804</v>
      </c>
      <c r="J27" s="8">
        <f>Sovcombank!AE192</f>
        <v>31887</v>
      </c>
      <c r="K27" s="8">
        <f>Sovcombank!AF192</f>
        <v>22938</v>
      </c>
      <c r="L27" s="8">
        <f>Sovcombank!AG192</f>
        <v>18054</v>
      </c>
      <c r="M27" s="8">
        <f>Sovcombank!AH192</f>
        <v>11144</v>
      </c>
      <c r="N27" s="8">
        <f>Sovcombank!AI192</f>
        <v>8797</v>
      </c>
      <c r="O27" s="8">
        <f>Sovcombank!AJ192</f>
        <v>6607</v>
      </c>
      <c r="P27" s="8">
        <f>Sovcombank!AK192</f>
        <v>6933</v>
      </c>
      <c r="Q27" s="8">
        <f>Sovcombank!AL192</f>
        <v>5109</v>
      </c>
      <c r="R27" s="8">
        <f>Sovcombank!AM192</f>
        <v>4354</v>
      </c>
      <c r="S27" s="8">
        <f>Sovcombank!AN192</f>
        <v>3224</v>
      </c>
      <c r="T27" s="8">
        <f>Sovcombank!AO192</f>
        <v>2205</v>
      </c>
      <c r="U27" s="8">
        <f>Sovcombank!AP192</f>
        <v>2142</v>
      </c>
      <c r="V27" s="8">
        <f>Sovcombank!AQ192</f>
        <v>5777</v>
      </c>
      <c r="W27" s="8">
        <f>Sovcombank!AR192</f>
        <v>1960</v>
      </c>
      <c r="X27" s="8">
        <f>Sovcombank!AS192</f>
        <v>1998</v>
      </c>
      <c r="Y27" s="8">
        <f>Sovcombank!AT192</f>
        <v>1944</v>
      </c>
      <c r="Z27" s="8">
        <f>Sovcombank!AU192</f>
        <v>1980</v>
      </c>
      <c r="AA27" s="8">
        <f>Sovcombank!AV192</f>
        <v>1054</v>
      </c>
      <c r="AB27" s="8">
        <f>Sovcombank!AW192</f>
        <v>1075</v>
      </c>
      <c r="AC27" s="8">
        <f>Sovcombank!AX192</f>
        <v>1042</v>
      </c>
      <c r="AE27" s="8">
        <f t="shared" ref="AE27:AE33" si="35">E27</f>
        <v>40380</v>
      </c>
      <c r="AF27" s="8">
        <f t="shared" ref="AF27:AF34" si="36">I27</f>
        <v>33804</v>
      </c>
      <c r="AG27" s="8">
        <f t="shared" ref="AG27:AG34" si="37">M27</f>
        <v>11144</v>
      </c>
      <c r="AH27" s="8">
        <f t="shared" ref="AH27:AH34" si="38">Q27</f>
        <v>5109</v>
      </c>
      <c r="AI27" s="8">
        <f t="shared" ref="AI27:AI34" si="39">U27</f>
        <v>2142</v>
      </c>
      <c r="AJ27" s="8">
        <f t="shared" si="25"/>
        <v>1944</v>
      </c>
      <c r="AK27" s="8">
        <f t="shared" si="26"/>
        <v>1042</v>
      </c>
      <c r="AM27" s="8">
        <f t="shared" ref="AM27:AM34" si="40">F27</f>
        <v>38040</v>
      </c>
      <c r="AN27" s="8">
        <f t="shared" ref="AN27:AN34" si="41">J27</f>
        <v>31887</v>
      </c>
      <c r="AO27" s="8">
        <f t="shared" ref="AO27:AO34" si="42">N27</f>
        <v>8797</v>
      </c>
      <c r="AP27" s="8">
        <f t="shared" ref="AP27:AP34" si="43">R27</f>
        <v>4354</v>
      </c>
      <c r="AQ27" s="8">
        <f t="shared" ref="AQ27:AQ34" si="44">V27</f>
        <v>5777</v>
      </c>
      <c r="AR27" s="8">
        <f t="shared" si="27"/>
        <v>1980</v>
      </c>
      <c r="AT27" s="8">
        <f t="shared" ref="AT27:AT34" si="45">G27</f>
        <v>35055</v>
      </c>
      <c r="AU27" s="8">
        <f t="shared" ref="AU27:AU34" si="46">K27</f>
        <v>22938</v>
      </c>
      <c r="AV27" s="8">
        <f t="shared" ref="AV27:AV34" si="47">O27</f>
        <v>6607</v>
      </c>
      <c r="AW27" s="8">
        <f t="shared" ref="AW27:AW34" si="48">S27</f>
        <v>3224</v>
      </c>
      <c r="AX27" s="8">
        <f t="shared" ref="AX27:AX34" si="49">W27</f>
        <v>1960</v>
      </c>
      <c r="AY27" s="8">
        <f t="shared" si="28"/>
        <v>1054</v>
      </c>
    </row>
    <row r="28" spans="1:51" x14ac:dyDescent="0.2">
      <c r="B28" s="197" t="s">
        <v>106</v>
      </c>
      <c r="C28" s="8">
        <v>96127</v>
      </c>
      <c r="D28" s="8">
        <v>83151</v>
      </c>
      <c r="E28" s="8">
        <v>70906</v>
      </c>
      <c r="F28" s="8">
        <v>67677</v>
      </c>
      <c r="G28" s="8">
        <v>62539</v>
      </c>
      <c r="H28" s="8">
        <f>Sovcombank!AC193</f>
        <v>75546</v>
      </c>
      <c r="I28" s="8">
        <f>Sovcombank!AD193</f>
        <v>67796</v>
      </c>
      <c r="J28" s="8">
        <f>Sovcombank!AE193</f>
        <v>70844</v>
      </c>
      <c r="K28" s="8">
        <f>Sovcombank!AF193</f>
        <v>34556</v>
      </c>
      <c r="L28" s="8">
        <f>Sovcombank!AG193</f>
        <v>19425</v>
      </c>
      <c r="M28" s="8">
        <f>Sovcombank!AH193</f>
        <v>17847</v>
      </c>
      <c r="N28" s="8">
        <f>Sovcombank!AI193</f>
        <v>18053</v>
      </c>
      <c r="O28" s="8">
        <f>Sovcombank!AJ193</f>
        <v>14811</v>
      </c>
      <c r="P28" s="8">
        <f>Sovcombank!AK193</f>
        <v>16300</v>
      </c>
      <c r="Q28" s="8">
        <f>Sovcombank!AL193</f>
        <v>5455</v>
      </c>
      <c r="R28" s="8">
        <f>Sovcombank!AM193</f>
        <v>5959</v>
      </c>
      <c r="S28" s="8">
        <f>Sovcombank!AN193</f>
        <v>5508</v>
      </c>
      <c r="T28" s="8">
        <f>Sovcombank!AO193</f>
        <v>6125</v>
      </c>
      <c r="U28" s="8">
        <f>Sovcombank!AP193</f>
        <v>0</v>
      </c>
      <c r="V28" s="8">
        <f>Sovcombank!AQ193</f>
        <v>2862</v>
      </c>
      <c r="W28" s="8">
        <f>Sovcombank!AR193</f>
        <v>0</v>
      </c>
      <c r="X28" s="8">
        <f>Sovcombank!AS193</f>
        <v>0</v>
      </c>
      <c r="Y28" s="8">
        <f>Sovcombank!AT193</f>
        <v>0</v>
      </c>
      <c r="Z28" s="8">
        <f>Sovcombank!AU193</f>
        <v>0</v>
      </c>
      <c r="AA28" s="8">
        <f>Sovcombank!AV193</f>
        <v>0</v>
      </c>
      <c r="AB28" s="8">
        <f>Sovcombank!AW193</f>
        <v>0</v>
      </c>
      <c r="AC28" s="8">
        <f>Sovcombank!AX193</f>
        <v>0</v>
      </c>
      <c r="AE28" s="8">
        <f t="shared" si="35"/>
        <v>70906</v>
      </c>
      <c r="AF28" s="8">
        <f t="shared" si="36"/>
        <v>67796</v>
      </c>
      <c r="AG28" s="8">
        <f t="shared" si="37"/>
        <v>17847</v>
      </c>
      <c r="AH28" s="8">
        <f t="shared" si="38"/>
        <v>5455</v>
      </c>
      <c r="AI28" s="8">
        <f t="shared" si="39"/>
        <v>0</v>
      </c>
      <c r="AJ28" s="8">
        <f t="shared" si="25"/>
        <v>0</v>
      </c>
      <c r="AK28" s="8">
        <f t="shared" si="26"/>
        <v>0</v>
      </c>
      <c r="AM28" s="8">
        <f t="shared" si="40"/>
        <v>67677</v>
      </c>
      <c r="AN28" s="8">
        <f t="shared" si="41"/>
        <v>70844</v>
      </c>
      <c r="AO28" s="8">
        <f t="shared" si="42"/>
        <v>18053</v>
      </c>
      <c r="AP28" s="8">
        <f t="shared" si="43"/>
        <v>5959</v>
      </c>
      <c r="AQ28" s="8">
        <f t="shared" si="44"/>
        <v>2862</v>
      </c>
      <c r="AR28" s="8">
        <f t="shared" si="27"/>
        <v>0</v>
      </c>
      <c r="AT28" s="8">
        <f t="shared" si="45"/>
        <v>62539</v>
      </c>
      <c r="AU28" s="8">
        <f t="shared" si="46"/>
        <v>34556</v>
      </c>
      <c r="AV28" s="8">
        <f t="shared" si="47"/>
        <v>14811</v>
      </c>
      <c r="AW28" s="8">
        <f t="shared" si="48"/>
        <v>5508</v>
      </c>
      <c r="AX28" s="8">
        <f t="shared" si="49"/>
        <v>0</v>
      </c>
      <c r="AY28" s="8">
        <f t="shared" si="28"/>
        <v>0</v>
      </c>
    </row>
    <row r="29" spans="1:51" x14ac:dyDescent="0.2">
      <c r="B29" s="197" t="s">
        <v>258</v>
      </c>
      <c r="C29" s="8">
        <v>16001</v>
      </c>
      <c r="D29" s="8">
        <v>15732</v>
      </c>
      <c r="E29" s="8">
        <v>15550</v>
      </c>
      <c r="F29" s="8">
        <v>15334</v>
      </c>
      <c r="G29" s="8">
        <v>15026</v>
      </c>
      <c r="H29" s="8">
        <f>Sovcombank!AC194</f>
        <v>15837</v>
      </c>
      <c r="I29" s="8">
        <f>Sovcombank!AD194</f>
        <v>15824</v>
      </c>
      <c r="J29" s="8">
        <f>Sovcombank!AE194</f>
        <v>9448</v>
      </c>
      <c r="K29" s="8">
        <f>Sovcombank!AF194</f>
        <v>8464</v>
      </c>
      <c r="L29" s="8">
        <f>Sovcombank!AG194</f>
        <v>7024</v>
      </c>
      <c r="M29" s="8">
        <f>Sovcombank!AH194</f>
        <v>6784</v>
      </c>
      <c r="N29" s="8">
        <f>Sovcombank!AI194</f>
        <v>6465</v>
      </c>
      <c r="O29" s="8">
        <f>Sovcombank!AJ194</f>
        <v>5620</v>
      </c>
      <c r="P29" s="8">
        <f>Sovcombank!AK194</f>
        <v>1779</v>
      </c>
      <c r="Q29" s="8">
        <f>Sovcombank!AL194</f>
        <v>1768</v>
      </c>
      <c r="R29" s="8">
        <f>Sovcombank!AM194</f>
        <v>1373</v>
      </c>
      <c r="S29" s="8">
        <f>Sovcombank!AN194</f>
        <v>789</v>
      </c>
      <c r="T29" s="8">
        <f>Sovcombank!AO194</f>
        <v>783</v>
      </c>
      <c r="U29" s="8">
        <f>Sovcombank!AP194</f>
        <v>776</v>
      </c>
      <c r="V29" s="8">
        <f>Sovcombank!AQ194</f>
        <v>7889</v>
      </c>
      <c r="W29" s="8">
        <f>Sovcombank!AR194</f>
        <v>0</v>
      </c>
      <c r="X29" s="8">
        <f>Sovcombank!AS194</f>
        <v>0</v>
      </c>
      <c r="Y29" s="8">
        <f>Sovcombank!AT194</f>
        <v>0</v>
      </c>
      <c r="Z29" s="8">
        <f>Sovcombank!AU194</f>
        <v>0</v>
      </c>
      <c r="AA29" s="8">
        <f>Sovcombank!AV194</f>
        <v>0</v>
      </c>
      <c r="AB29" s="8">
        <f>Sovcombank!AW194</f>
        <v>0</v>
      </c>
      <c r="AC29" s="8">
        <f>Sovcombank!AX194</f>
        <v>0</v>
      </c>
      <c r="AE29" s="8">
        <f t="shared" si="35"/>
        <v>15550</v>
      </c>
      <c r="AF29" s="8">
        <f t="shared" si="36"/>
        <v>15824</v>
      </c>
      <c r="AG29" s="8">
        <f t="shared" si="37"/>
        <v>6784</v>
      </c>
      <c r="AH29" s="8">
        <f t="shared" si="38"/>
        <v>1768</v>
      </c>
      <c r="AI29" s="8">
        <f t="shared" si="39"/>
        <v>776</v>
      </c>
      <c r="AJ29" s="8">
        <f t="shared" si="25"/>
        <v>0</v>
      </c>
      <c r="AK29" s="8">
        <f t="shared" si="26"/>
        <v>0</v>
      </c>
      <c r="AM29" s="8">
        <f t="shared" si="40"/>
        <v>15334</v>
      </c>
      <c r="AN29" s="8">
        <f t="shared" si="41"/>
        <v>9448</v>
      </c>
      <c r="AO29" s="8">
        <f t="shared" si="42"/>
        <v>6465</v>
      </c>
      <c r="AP29" s="8">
        <f t="shared" si="43"/>
        <v>1373</v>
      </c>
      <c r="AQ29" s="8">
        <f t="shared" si="44"/>
        <v>7889</v>
      </c>
      <c r="AR29" s="8">
        <f t="shared" si="27"/>
        <v>0</v>
      </c>
      <c r="AT29" s="8">
        <f t="shared" si="45"/>
        <v>15026</v>
      </c>
      <c r="AU29" s="8">
        <f t="shared" si="46"/>
        <v>8464</v>
      </c>
      <c r="AV29" s="8">
        <f t="shared" si="47"/>
        <v>5620</v>
      </c>
      <c r="AW29" s="8">
        <f t="shared" si="48"/>
        <v>789</v>
      </c>
      <c r="AX29" s="8">
        <f t="shared" si="49"/>
        <v>0</v>
      </c>
      <c r="AY29" s="8">
        <f t="shared" si="28"/>
        <v>0</v>
      </c>
    </row>
    <row r="30" spans="1:51" ht="22.5" x14ac:dyDescent="0.2">
      <c r="B30" s="210" t="s">
        <v>107</v>
      </c>
      <c r="C30" s="8">
        <v>6347</v>
      </c>
      <c r="D30" s="8">
        <v>4964</v>
      </c>
      <c r="E30" s="8">
        <v>4810</v>
      </c>
      <c r="F30" s="8">
        <v>6459</v>
      </c>
      <c r="G30" s="8">
        <v>7205</v>
      </c>
      <c r="H30" s="8">
        <f>Sovcombank!AC195</f>
        <v>6486</v>
      </c>
      <c r="I30" s="8">
        <f>Sovcombank!AD195</f>
        <v>6090</v>
      </c>
      <c r="J30" s="8">
        <f>Sovcombank!AE195</f>
        <v>6484</v>
      </c>
      <c r="K30" s="8">
        <f>Sovcombank!AF195</f>
        <v>8806</v>
      </c>
      <c r="L30" s="8">
        <f>Sovcombank!AG195</f>
        <v>7917</v>
      </c>
      <c r="M30" s="8">
        <f>Sovcombank!AH195</f>
        <v>8839</v>
      </c>
      <c r="N30" s="8">
        <f>Sovcombank!AI195</f>
        <v>12421</v>
      </c>
      <c r="O30" s="8">
        <f>Sovcombank!AJ195</f>
        <v>22260</v>
      </c>
      <c r="P30" s="8">
        <f>Sovcombank!AK195</f>
        <v>20538</v>
      </c>
      <c r="Q30" s="8">
        <f>Sovcombank!AL195</f>
        <v>16154</v>
      </c>
      <c r="R30" s="8">
        <f>Sovcombank!AM195</f>
        <v>11795</v>
      </c>
      <c r="S30" s="8">
        <f>Sovcombank!AN195</f>
        <v>28473</v>
      </c>
      <c r="T30" s="8">
        <f>Sovcombank!AO195</f>
        <v>16980</v>
      </c>
      <c r="U30" s="8">
        <f>Sovcombank!AP195</f>
        <v>16902</v>
      </c>
      <c r="V30" s="8">
        <f>Sovcombank!AQ195</f>
        <v>14442</v>
      </c>
      <c r="W30" s="8">
        <f>Sovcombank!AR195</f>
        <v>26817</v>
      </c>
      <c r="X30" s="8">
        <f>Sovcombank!AS195</f>
        <v>20999</v>
      </c>
      <c r="Y30" s="8">
        <f>Sovcombank!AT195</f>
        <v>14080</v>
      </c>
      <c r="Z30" s="8">
        <f>Sovcombank!AU195</f>
        <v>13148</v>
      </c>
      <c r="AA30" s="8">
        <f>Sovcombank!AV195</f>
        <v>30714</v>
      </c>
      <c r="AB30" s="8">
        <f>Sovcombank!AW195</f>
        <v>10444</v>
      </c>
      <c r="AC30" s="8">
        <f>Sovcombank!AX195</f>
        <v>39453</v>
      </c>
      <c r="AE30" s="8">
        <f t="shared" si="35"/>
        <v>4810</v>
      </c>
      <c r="AF30" s="8">
        <f t="shared" si="36"/>
        <v>6090</v>
      </c>
      <c r="AG30" s="8">
        <f t="shared" si="37"/>
        <v>8839</v>
      </c>
      <c r="AH30" s="8">
        <f t="shared" si="38"/>
        <v>16154</v>
      </c>
      <c r="AI30" s="8">
        <f t="shared" si="39"/>
        <v>16902</v>
      </c>
      <c r="AJ30" s="8">
        <f t="shared" si="25"/>
        <v>14080</v>
      </c>
      <c r="AK30" s="8">
        <f t="shared" si="26"/>
        <v>39453</v>
      </c>
      <c r="AM30" s="8">
        <f t="shared" si="40"/>
        <v>6459</v>
      </c>
      <c r="AN30" s="8">
        <f t="shared" si="41"/>
        <v>6484</v>
      </c>
      <c r="AO30" s="8">
        <f t="shared" si="42"/>
        <v>12421</v>
      </c>
      <c r="AP30" s="8">
        <f t="shared" si="43"/>
        <v>11795</v>
      </c>
      <c r="AQ30" s="8">
        <f t="shared" si="44"/>
        <v>14442</v>
      </c>
      <c r="AR30" s="8">
        <f t="shared" si="27"/>
        <v>13148</v>
      </c>
      <c r="AT30" s="8">
        <f t="shared" si="45"/>
        <v>7205</v>
      </c>
      <c r="AU30" s="8">
        <f t="shared" si="46"/>
        <v>8806</v>
      </c>
      <c r="AV30" s="8">
        <f t="shared" si="47"/>
        <v>22260</v>
      </c>
      <c r="AW30" s="8">
        <f t="shared" si="48"/>
        <v>28473</v>
      </c>
      <c r="AX30" s="8">
        <f t="shared" si="49"/>
        <v>26817</v>
      </c>
      <c r="AY30" s="8">
        <f t="shared" si="28"/>
        <v>30714</v>
      </c>
    </row>
    <row r="31" spans="1:51" x14ac:dyDescent="0.2">
      <c r="B31" s="197" t="s">
        <v>108</v>
      </c>
      <c r="C31" s="8">
        <v>149063</v>
      </c>
      <c r="D31" s="8">
        <v>154170</v>
      </c>
      <c r="E31" s="8">
        <v>144433</v>
      </c>
      <c r="F31" s="8">
        <v>143243</v>
      </c>
      <c r="G31" s="8">
        <v>160286</v>
      </c>
      <c r="H31" s="8">
        <f>Sovcombank!AC196</f>
        <v>202073</v>
      </c>
      <c r="I31" s="8">
        <f>Sovcombank!AD196</f>
        <v>240917</v>
      </c>
      <c r="J31" s="8">
        <f>Sovcombank!AE196</f>
        <v>216732</v>
      </c>
      <c r="K31" s="8">
        <f>Sovcombank!AF196</f>
        <v>262058</v>
      </c>
      <c r="L31" s="8">
        <f>Sovcombank!AG196</f>
        <v>336130</v>
      </c>
      <c r="M31" s="8">
        <f>Sovcombank!AH196</f>
        <v>421453</v>
      </c>
      <c r="N31" s="8">
        <f>Sovcombank!AI196</f>
        <v>447912</v>
      </c>
      <c r="O31" s="8">
        <f>Sovcombank!AJ196</f>
        <v>487997</v>
      </c>
      <c r="P31" s="8">
        <f>Sovcombank!AK196</f>
        <v>444162</v>
      </c>
      <c r="Q31" s="8">
        <f>Sovcombank!AL196</f>
        <v>476516</v>
      </c>
      <c r="R31" s="8">
        <f>Sovcombank!AM196</f>
        <v>575431</v>
      </c>
      <c r="S31" s="8">
        <f>Sovcombank!AN196</f>
        <v>633551</v>
      </c>
      <c r="T31" s="8">
        <f>Sovcombank!AO196</f>
        <v>677080</v>
      </c>
      <c r="U31" s="8">
        <f>Sovcombank!AP196</f>
        <v>688231</v>
      </c>
      <c r="V31" s="8">
        <f>Sovcombank!AQ196</f>
        <v>781632</v>
      </c>
      <c r="W31" s="8">
        <f>Sovcombank!AR196</f>
        <v>878786</v>
      </c>
      <c r="X31" s="8">
        <f>Sovcombank!AS196</f>
        <v>964363</v>
      </c>
      <c r="Y31" s="8">
        <f>Sovcombank!AT196</f>
        <v>1010842</v>
      </c>
      <c r="Z31" s="8">
        <f>Sovcombank!AU196</f>
        <v>1005760</v>
      </c>
      <c r="AA31" s="8">
        <f>Sovcombank!AV196</f>
        <v>1077949</v>
      </c>
      <c r="AB31" s="8">
        <f>Sovcombank!AW196</f>
        <v>1055297</v>
      </c>
      <c r="AC31" s="8">
        <f>Sovcombank!AX196</f>
        <v>1069115</v>
      </c>
      <c r="AE31" s="8">
        <f t="shared" si="35"/>
        <v>144433</v>
      </c>
      <c r="AF31" s="8">
        <f t="shared" si="36"/>
        <v>240917</v>
      </c>
      <c r="AG31" s="8">
        <f t="shared" si="37"/>
        <v>421453</v>
      </c>
      <c r="AH31" s="8">
        <f t="shared" si="38"/>
        <v>476516</v>
      </c>
      <c r="AI31" s="8">
        <f t="shared" si="39"/>
        <v>688231</v>
      </c>
      <c r="AJ31" s="8">
        <f t="shared" si="25"/>
        <v>1010842</v>
      </c>
      <c r="AK31" s="8">
        <f t="shared" si="26"/>
        <v>1069115</v>
      </c>
      <c r="AM31" s="8">
        <f t="shared" si="40"/>
        <v>143243</v>
      </c>
      <c r="AN31" s="8">
        <f t="shared" si="41"/>
        <v>216732</v>
      </c>
      <c r="AO31" s="8">
        <f t="shared" si="42"/>
        <v>447912</v>
      </c>
      <c r="AP31" s="8">
        <f t="shared" si="43"/>
        <v>575431</v>
      </c>
      <c r="AQ31" s="8">
        <f t="shared" si="44"/>
        <v>781632</v>
      </c>
      <c r="AR31" s="8">
        <f t="shared" si="27"/>
        <v>1005760</v>
      </c>
      <c r="AT31" s="8">
        <f t="shared" si="45"/>
        <v>160286</v>
      </c>
      <c r="AU31" s="8">
        <f t="shared" si="46"/>
        <v>262058</v>
      </c>
      <c r="AV31" s="8">
        <f t="shared" si="47"/>
        <v>487997</v>
      </c>
      <c r="AW31" s="8">
        <f t="shared" si="48"/>
        <v>633551</v>
      </c>
      <c r="AX31" s="8">
        <f t="shared" si="49"/>
        <v>878786</v>
      </c>
      <c r="AY31" s="8">
        <f t="shared" si="28"/>
        <v>1077949</v>
      </c>
    </row>
    <row r="32" spans="1:51" x14ac:dyDescent="0.2">
      <c r="B32" s="197" t="s">
        <v>109</v>
      </c>
      <c r="C32" s="8">
        <v>42050</v>
      </c>
      <c r="D32" s="8">
        <v>41306</v>
      </c>
      <c r="E32" s="8">
        <v>44054</v>
      </c>
      <c r="F32" s="8">
        <v>47738</v>
      </c>
      <c r="G32" s="8">
        <v>53876</v>
      </c>
      <c r="H32" s="8">
        <f>Sovcombank!AC197</f>
        <v>54812</v>
      </c>
      <c r="I32" s="8">
        <f>Sovcombank!AD197</f>
        <v>57915</v>
      </c>
      <c r="J32" s="8">
        <f>Sovcombank!AE197</f>
        <v>68720</v>
      </c>
      <c r="K32" s="8">
        <f>Sovcombank!AF197</f>
        <v>85775</v>
      </c>
      <c r="L32" s="8">
        <f>Sovcombank!AG197</f>
        <v>103094</v>
      </c>
      <c r="M32" s="8">
        <f>Sovcombank!AH197</f>
        <v>115402</v>
      </c>
      <c r="N32" s="8">
        <f>Sovcombank!AI197</f>
        <v>152784</v>
      </c>
      <c r="O32" s="8">
        <f>Sovcombank!AJ197</f>
        <v>174425</v>
      </c>
      <c r="P32" s="8">
        <f>Sovcombank!AK197</f>
        <v>168634</v>
      </c>
      <c r="Q32" s="8">
        <f>Sovcombank!AL197</f>
        <v>159954</v>
      </c>
      <c r="R32" s="8">
        <f>Sovcombank!AM197</f>
        <v>167249</v>
      </c>
      <c r="S32" s="8">
        <f>Sovcombank!AN197</f>
        <v>169197</v>
      </c>
      <c r="T32" s="8">
        <f>Sovcombank!AO197</f>
        <v>176173</v>
      </c>
      <c r="U32" s="8">
        <f>Sovcombank!AP197</f>
        <v>190070</v>
      </c>
      <c r="V32" s="8">
        <f>Sovcombank!AQ197</f>
        <v>219555</v>
      </c>
      <c r="W32" s="8">
        <f>Sovcombank!AR197</f>
        <v>237271</v>
      </c>
      <c r="X32" s="8">
        <f>Sovcombank!AS197</f>
        <v>243354</v>
      </c>
      <c r="Y32" s="8">
        <f>Sovcombank!AT197</f>
        <v>267331</v>
      </c>
      <c r="Z32" s="8">
        <f>Sovcombank!AU197</f>
        <v>287124</v>
      </c>
      <c r="AA32" s="8">
        <f>Sovcombank!AV197</f>
        <v>320111</v>
      </c>
      <c r="AB32" s="8">
        <f>Sovcombank!AW197</f>
        <v>300914</v>
      </c>
      <c r="AC32" s="8">
        <f>Sovcombank!AX197</f>
        <v>343913</v>
      </c>
      <c r="AE32" s="8">
        <f t="shared" si="35"/>
        <v>44054</v>
      </c>
      <c r="AF32" s="8">
        <f t="shared" si="36"/>
        <v>57915</v>
      </c>
      <c r="AG32" s="8">
        <f t="shared" si="37"/>
        <v>115402</v>
      </c>
      <c r="AH32" s="8">
        <f t="shared" si="38"/>
        <v>159954</v>
      </c>
      <c r="AI32" s="8">
        <f t="shared" si="39"/>
        <v>190070</v>
      </c>
      <c r="AJ32" s="8">
        <f t="shared" si="25"/>
        <v>267331</v>
      </c>
      <c r="AK32" s="8">
        <f t="shared" si="26"/>
        <v>343913</v>
      </c>
      <c r="AM32" s="8">
        <f t="shared" si="40"/>
        <v>47738</v>
      </c>
      <c r="AN32" s="8">
        <f t="shared" si="41"/>
        <v>68720</v>
      </c>
      <c r="AO32" s="8">
        <f t="shared" si="42"/>
        <v>152784</v>
      </c>
      <c r="AP32" s="8">
        <f t="shared" si="43"/>
        <v>167249</v>
      </c>
      <c r="AQ32" s="8">
        <f t="shared" si="44"/>
        <v>219555</v>
      </c>
      <c r="AR32" s="8">
        <f t="shared" si="27"/>
        <v>287124</v>
      </c>
      <c r="AT32" s="8">
        <f t="shared" si="45"/>
        <v>53876</v>
      </c>
      <c r="AU32" s="8">
        <f t="shared" si="46"/>
        <v>85775</v>
      </c>
      <c r="AV32" s="8">
        <f t="shared" si="47"/>
        <v>174425</v>
      </c>
      <c r="AW32" s="8">
        <f t="shared" si="48"/>
        <v>169197</v>
      </c>
      <c r="AX32" s="8">
        <f t="shared" si="49"/>
        <v>237271</v>
      </c>
      <c r="AY32" s="8">
        <f t="shared" si="28"/>
        <v>320111</v>
      </c>
    </row>
    <row r="33" spans="1:51" x14ac:dyDescent="0.2">
      <c r="B33" s="211" t="s">
        <v>337</v>
      </c>
      <c r="C33" s="29">
        <f t="shared" ref="C33:N33" si="50">SUM(C27:C32)</f>
        <v>357733</v>
      </c>
      <c r="D33" s="29">
        <f t="shared" si="50"/>
        <v>344873</v>
      </c>
      <c r="E33" s="29">
        <f t="shared" si="50"/>
        <v>320133</v>
      </c>
      <c r="F33" s="29">
        <f t="shared" si="50"/>
        <v>318491</v>
      </c>
      <c r="G33" s="29">
        <f t="shared" si="50"/>
        <v>333987</v>
      </c>
      <c r="H33" s="29">
        <f t="shared" si="50"/>
        <v>393143</v>
      </c>
      <c r="I33" s="29">
        <f t="shared" si="50"/>
        <v>422346</v>
      </c>
      <c r="J33" s="29">
        <f t="shared" si="50"/>
        <v>404115</v>
      </c>
      <c r="K33" s="29">
        <f t="shared" si="50"/>
        <v>422597</v>
      </c>
      <c r="L33" s="29">
        <f t="shared" si="50"/>
        <v>491644</v>
      </c>
      <c r="M33" s="29">
        <f t="shared" si="50"/>
        <v>581469</v>
      </c>
      <c r="N33" s="29">
        <f t="shared" si="50"/>
        <v>646432</v>
      </c>
      <c r="O33" s="29">
        <f t="shared" ref="O33" si="51">SUM(O27:O32)</f>
        <v>711720</v>
      </c>
      <c r="P33" s="29">
        <f t="shared" ref="P33:Q33" si="52">SUM(P27:P32)</f>
        <v>658346</v>
      </c>
      <c r="Q33" s="29">
        <f t="shared" si="52"/>
        <v>664956</v>
      </c>
      <c r="R33" s="29">
        <f t="shared" ref="R33:S33" si="53">SUM(R27:R32)</f>
        <v>766161</v>
      </c>
      <c r="S33" s="29">
        <f t="shared" si="53"/>
        <v>840742</v>
      </c>
      <c r="T33" s="29">
        <f t="shared" ref="T33:U33" si="54">SUM(T27:T32)</f>
        <v>879346</v>
      </c>
      <c r="U33" s="29">
        <f t="shared" si="54"/>
        <v>898121</v>
      </c>
      <c r="V33" s="29">
        <f t="shared" ref="V33:W33" si="55">SUM(V27:V32)</f>
        <v>1032157</v>
      </c>
      <c r="W33" s="29">
        <f t="shared" si="55"/>
        <v>1144834</v>
      </c>
      <c r="X33" s="29">
        <f t="shared" ref="X33:Y33" si="56">SUM(X27:X32)</f>
        <v>1230714</v>
      </c>
      <c r="Y33" s="29">
        <f t="shared" si="56"/>
        <v>1294197</v>
      </c>
      <c r="Z33" s="29">
        <f t="shared" ref="Z33:AB33" si="57">SUM(Z27:Z32)</f>
        <v>1308012</v>
      </c>
      <c r="AA33" s="29">
        <f t="shared" si="57"/>
        <v>1429828</v>
      </c>
      <c r="AB33" s="29">
        <f t="shared" si="57"/>
        <v>1367730</v>
      </c>
      <c r="AC33" s="29">
        <f t="shared" ref="AC33" si="58">SUM(AC27:AC32)</f>
        <v>1453523</v>
      </c>
      <c r="AE33" s="29">
        <f t="shared" si="35"/>
        <v>320133</v>
      </c>
      <c r="AF33" s="29">
        <f t="shared" si="36"/>
        <v>422346</v>
      </c>
      <c r="AG33" s="29">
        <f t="shared" si="37"/>
        <v>581469</v>
      </c>
      <c r="AH33" s="29">
        <f t="shared" si="38"/>
        <v>664956</v>
      </c>
      <c r="AI33" s="29">
        <f t="shared" si="39"/>
        <v>898121</v>
      </c>
      <c r="AJ33" s="29">
        <f t="shared" si="25"/>
        <v>1294197</v>
      </c>
      <c r="AK33" s="29">
        <f t="shared" si="26"/>
        <v>1453523</v>
      </c>
      <c r="AM33" s="29">
        <f t="shared" si="40"/>
        <v>318491</v>
      </c>
      <c r="AN33" s="29">
        <f t="shared" si="41"/>
        <v>404115</v>
      </c>
      <c r="AO33" s="29">
        <f t="shared" si="42"/>
        <v>646432</v>
      </c>
      <c r="AP33" s="29">
        <f t="shared" si="43"/>
        <v>766161</v>
      </c>
      <c r="AQ33" s="29">
        <f t="shared" si="44"/>
        <v>1032157</v>
      </c>
      <c r="AR33" s="29">
        <f t="shared" si="27"/>
        <v>1308012</v>
      </c>
      <c r="AT33" s="29">
        <f t="shared" si="45"/>
        <v>333987</v>
      </c>
      <c r="AU33" s="29">
        <f t="shared" si="46"/>
        <v>422597</v>
      </c>
      <c r="AV33" s="29">
        <f t="shared" si="47"/>
        <v>711720</v>
      </c>
      <c r="AW33" s="29">
        <f t="shared" si="48"/>
        <v>840742</v>
      </c>
      <c r="AX33" s="29">
        <f t="shared" si="49"/>
        <v>1144834</v>
      </c>
      <c r="AY33" s="29">
        <f t="shared" si="28"/>
        <v>1429828</v>
      </c>
    </row>
    <row r="34" spans="1:51" x14ac:dyDescent="0.2">
      <c r="B34" s="211" t="s">
        <v>43</v>
      </c>
      <c r="C34" s="29">
        <f t="shared" ref="C34:H34" si="59">SUM(C30:C32)</f>
        <v>197460</v>
      </c>
      <c r="D34" s="29">
        <f>SUM(D30:D32)</f>
        <v>200440</v>
      </c>
      <c r="E34" s="29">
        <f t="shared" si="59"/>
        <v>193297</v>
      </c>
      <c r="F34" s="29">
        <f t="shared" si="59"/>
        <v>197440</v>
      </c>
      <c r="G34" s="29">
        <f t="shared" si="59"/>
        <v>221367</v>
      </c>
      <c r="H34" s="29">
        <f t="shared" si="59"/>
        <v>263371</v>
      </c>
      <c r="I34" s="29">
        <f t="shared" ref="I34:N34" si="60">SUM(I30:I32)</f>
        <v>304922</v>
      </c>
      <c r="J34" s="29">
        <f t="shared" si="60"/>
        <v>291936</v>
      </c>
      <c r="K34" s="29">
        <f t="shared" si="60"/>
        <v>356639</v>
      </c>
      <c r="L34" s="29">
        <f t="shared" si="60"/>
        <v>447141</v>
      </c>
      <c r="M34" s="29">
        <f t="shared" si="60"/>
        <v>545694</v>
      </c>
      <c r="N34" s="29">
        <f t="shared" si="60"/>
        <v>613117</v>
      </c>
      <c r="O34" s="29">
        <f t="shared" ref="O34" si="61">SUM(O30:O32)</f>
        <v>684682</v>
      </c>
      <c r="P34" s="29">
        <f t="shared" ref="P34:Q34" si="62">SUM(P30:P32)</f>
        <v>633334</v>
      </c>
      <c r="Q34" s="29">
        <f t="shared" si="62"/>
        <v>652624</v>
      </c>
      <c r="R34" s="29">
        <f t="shared" ref="R34:S34" si="63">SUM(R30:R32)</f>
        <v>754475</v>
      </c>
      <c r="S34" s="29">
        <f t="shared" si="63"/>
        <v>831221</v>
      </c>
      <c r="T34" s="29">
        <f t="shared" ref="T34:U34" si="64">SUM(T30:T32)</f>
        <v>870233</v>
      </c>
      <c r="U34" s="29">
        <f t="shared" si="64"/>
        <v>895203</v>
      </c>
      <c r="V34" s="29">
        <f t="shared" ref="V34:W34" si="65">SUM(V30:V32)</f>
        <v>1015629</v>
      </c>
      <c r="W34" s="29">
        <f t="shared" si="65"/>
        <v>1142874</v>
      </c>
      <c r="X34" s="29">
        <f t="shared" ref="X34:Y34" si="66">SUM(X30:X32)</f>
        <v>1228716</v>
      </c>
      <c r="Y34" s="29">
        <f t="shared" si="66"/>
        <v>1292253</v>
      </c>
      <c r="Z34" s="29">
        <f t="shared" ref="Z34:AB34" si="67">SUM(Z30:Z32)</f>
        <v>1306032</v>
      </c>
      <c r="AA34" s="29">
        <f t="shared" si="67"/>
        <v>1428774</v>
      </c>
      <c r="AB34" s="29">
        <f t="shared" si="67"/>
        <v>1366655</v>
      </c>
      <c r="AC34" s="29">
        <f t="shared" ref="AC34" si="68">SUM(AC30:AC32)</f>
        <v>1452481</v>
      </c>
      <c r="AE34" s="29">
        <f>SUM(AE30:AE32)</f>
        <v>193297</v>
      </c>
      <c r="AF34" s="29">
        <f t="shared" si="36"/>
        <v>304922</v>
      </c>
      <c r="AG34" s="29">
        <f t="shared" si="37"/>
        <v>545694</v>
      </c>
      <c r="AH34" s="29">
        <f t="shared" si="38"/>
        <v>652624</v>
      </c>
      <c r="AI34" s="29">
        <f t="shared" si="39"/>
        <v>895203</v>
      </c>
      <c r="AJ34" s="29">
        <f t="shared" si="25"/>
        <v>1292253</v>
      </c>
      <c r="AK34" s="29">
        <f t="shared" si="26"/>
        <v>1452481</v>
      </c>
      <c r="AM34" s="29">
        <f t="shared" si="40"/>
        <v>197440</v>
      </c>
      <c r="AN34" s="29">
        <f t="shared" si="41"/>
        <v>291936</v>
      </c>
      <c r="AO34" s="29">
        <f t="shared" si="42"/>
        <v>613117</v>
      </c>
      <c r="AP34" s="29">
        <f t="shared" si="43"/>
        <v>754475</v>
      </c>
      <c r="AQ34" s="29">
        <f t="shared" si="44"/>
        <v>1015629</v>
      </c>
      <c r="AR34" s="29">
        <f t="shared" si="27"/>
        <v>1306032</v>
      </c>
      <c r="AT34" s="29">
        <f t="shared" si="45"/>
        <v>221367</v>
      </c>
      <c r="AU34" s="29">
        <f t="shared" si="46"/>
        <v>356639</v>
      </c>
      <c r="AV34" s="29">
        <f t="shared" si="47"/>
        <v>684682</v>
      </c>
      <c r="AW34" s="29">
        <f t="shared" si="48"/>
        <v>831221</v>
      </c>
      <c r="AX34" s="29">
        <f t="shared" si="49"/>
        <v>1142874</v>
      </c>
      <c r="AY34" s="29">
        <f t="shared" si="28"/>
        <v>1428774</v>
      </c>
    </row>
    <row r="35" spans="1:51" x14ac:dyDescent="0.2">
      <c r="B35" s="211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E35" s="29"/>
      <c r="AF35" s="29"/>
      <c r="AG35" s="29"/>
      <c r="AH35" s="29"/>
      <c r="AI35" s="29"/>
      <c r="AJ35" s="29"/>
      <c r="AK35" s="29"/>
      <c r="AM35" s="29"/>
      <c r="AN35" s="29"/>
      <c r="AO35" s="29"/>
      <c r="AP35" s="29"/>
      <c r="AQ35" s="29"/>
      <c r="AR35" s="29"/>
      <c r="AT35" s="29"/>
      <c r="AU35" s="29"/>
      <c r="AV35" s="29"/>
      <c r="AW35" s="29"/>
      <c r="AX35" s="29"/>
      <c r="AY35" s="29"/>
    </row>
    <row r="36" spans="1:51" x14ac:dyDescent="0.2">
      <c r="B36" s="212" t="s">
        <v>3</v>
      </c>
      <c r="C36" s="15">
        <f t="shared" ref="C36:N36" si="69">C23+C33</f>
        <v>558424</v>
      </c>
      <c r="D36" s="15">
        <f t="shared" si="69"/>
        <v>559760</v>
      </c>
      <c r="E36" s="15">
        <f t="shared" si="69"/>
        <v>555184</v>
      </c>
      <c r="F36" s="15">
        <f t="shared" si="69"/>
        <v>573845</v>
      </c>
      <c r="G36" s="15">
        <f t="shared" si="69"/>
        <v>608129</v>
      </c>
      <c r="H36" s="15">
        <f t="shared" si="69"/>
        <v>679011</v>
      </c>
      <c r="I36" s="15">
        <f t="shared" si="69"/>
        <v>707569</v>
      </c>
      <c r="J36" s="15">
        <f t="shared" si="69"/>
        <v>712467</v>
      </c>
      <c r="K36" s="15">
        <f t="shared" si="69"/>
        <v>743390</v>
      </c>
      <c r="L36" s="15">
        <f t="shared" si="69"/>
        <v>829630</v>
      </c>
      <c r="M36" s="15">
        <f t="shared" si="69"/>
        <v>1036008</v>
      </c>
      <c r="N36" s="15">
        <f t="shared" si="69"/>
        <v>1136364</v>
      </c>
      <c r="O36" s="15">
        <f t="shared" ref="O36:P36" si="70">O23+O33</f>
        <v>1252015</v>
      </c>
      <c r="P36" s="15">
        <f t="shared" si="70"/>
        <v>1209682</v>
      </c>
      <c r="Q36" s="15">
        <f t="shared" ref="Q36:R36" si="71">Q23+Q33</f>
        <v>1234061</v>
      </c>
      <c r="R36" s="15">
        <f t="shared" si="71"/>
        <v>1371149</v>
      </c>
      <c r="S36" s="15">
        <f t="shared" ref="S36:T36" si="72">S23+S33</f>
        <v>1467427</v>
      </c>
      <c r="T36" s="15">
        <f t="shared" si="72"/>
        <v>1533715</v>
      </c>
      <c r="U36" s="15">
        <f t="shared" ref="U36:V36" si="73">U23+U33</f>
        <v>1614926</v>
      </c>
      <c r="V36" s="15">
        <f t="shared" si="73"/>
        <v>1809372</v>
      </c>
      <c r="W36" s="15">
        <f t="shared" ref="W36:X36" si="74">W23+W33</f>
        <v>1982754</v>
      </c>
      <c r="X36" s="15">
        <f t="shared" si="74"/>
        <v>2331884</v>
      </c>
      <c r="Y36" s="15">
        <f t="shared" ref="Y36:Z36" si="75">Y23+Y33</f>
        <v>2475693</v>
      </c>
      <c r="Z36" s="15">
        <f t="shared" si="75"/>
        <v>2592090</v>
      </c>
      <c r="AA36" s="15">
        <f t="shared" ref="AA36:AC36" si="76">AA23+AA33</f>
        <v>2782130</v>
      </c>
      <c r="AB36" s="15">
        <f t="shared" si="76"/>
        <v>2743732</v>
      </c>
      <c r="AC36" s="15">
        <f t="shared" si="76"/>
        <v>2844991</v>
      </c>
      <c r="AD36" s="15"/>
      <c r="AE36" s="15">
        <f>E36</f>
        <v>555184</v>
      </c>
      <c r="AF36" s="15">
        <f>I36</f>
        <v>707569</v>
      </c>
      <c r="AG36" s="15">
        <f>M36</f>
        <v>1036008</v>
      </c>
      <c r="AH36" s="15">
        <f>Q36</f>
        <v>1234061</v>
      </c>
      <c r="AI36" s="15">
        <f>U36</f>
        <v>1614926</v>
      </c>
      <c r="AJ36" s="15">
        <f t="shared" si="25"/>
        <v>2475693</v>
      </c>
      <c r="AK36" s="15">
        <f t="shared" si="26"/>
        <v>2844991</v>
      </c>
      <c r="AM36" s="15">
        <f>F36</f>
        <v>573845</v>
      </c>
      <c r="AN36" s="15">
        <f>J36</f>
        <v>712467</v>
      </c>
      <c r="AO36" s="15">
        <f>N36</f>
        <v>1136364</v>
      </c>
      <c r="AP36" s="15">
        <f>R36</f>
        <v>1371149</v>
      </c>
      <c r="AQ36" s="15">
        <f>V36</f>
        <v>1809372</v>
      </c>
      <c r="AR36" s="15">
        <f t="shared" si="27"/>
        <v>2592090</v>
      </c>
      <c r="AT36" s="15">
        <f>G36</f>
        <v>608129</v>
      </c>
      <c r="AU36" s="15">
        <f>K36</f>
        <v>743390</v>
      </c>
      <c r="AV36" s="15">
        <f>O36</f>
        <v>1252015</v>
      </c>
      <c r="AW36" s="15">
        <f>S36</f>
        <v>1467427</v>
      </c>
      <c r="AX36" s="15">
        <f>W36</f>
        <v>1982754</v>
      </c>
      <c r="AY36" s="15">
        <f t="shared" si="28"/>
        <v>2782130</v>
      </c>
    </row>
    <row r="38" spans="1:51" x14ac:dyDescent="0.2">
      <c r="B38" s="176" t="s">
        <v>179</v>
      </c>
      <c r="C38" s="179"/>
      <c r="D38" s="179"/>
      <c r="E38" s="195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E38" s="179"/>
      <c r="AF38" s="179"/>
      <c r="AG38" s="179"/>
      <c r="AH38" s="179"/>
      <c r="AI38" s="179"/>
      <c r="AJ38" s="179"/>
      <c r="AK38" s="179"/>
      <c r="AM38" s="179"/>
      <c r="AN38" s="179"/>
      <c r="AO38" s="179"/>
      <c r="AP38" s="179"/>
      <c r="AQ38" s="179"/>
      <c r="AR38" s="179"/>
      <c r="AT38" s="179"/>
      <c r="AU38" s="179"/>
      <c r="AV38" s="179"/>
      <c r="AW38" s="179"/>
      <c r="AX38" s="179"/>
      <c r="AY38" s="179"/>
    </row>
    <row r="40" spans="1:51" s="196" customFormat="1" x14ac:dyDescent="0.2">
      <c r="A40" s="167"/>
      <c r="B40" s="214" t="s">
        <v>352</v>
      </c>
      <c r="C40" s="213"/>
      <c r="D40" s="213">
        <f>D41+D48</f>
        <v>-1626</v>
      </c>
      <c r="E40" s="213">
        <f>E41+E48</f>
        <v>-2282</v>
      </c>
      <c r="F40" s="213">
        <f>F41+F48</f>
        <v>-2652</v>
      </c>
      <c r="G40" s="213">
        <f>G41+G48</f>
        <v>-2565</v>
      </c>
      <c r="H40" s="213">
        <f>H41+H48</f>
        <v>-5273</v>
      </c>
      <c r="I40" s="213">
        <f t="shared" ref="I40:I46" si="77">AF40-H40</f>
        <v>-5985</v>
      </c>
      <c r="J40" s="213">
        <f>AN40-AF40</f>
        <v>-5493</v>
      </c>
      <c r="K40" s="213">
        <f>AU40-AN40</f>
        <v>-3575</v>
      </c>
      <c r="L40" s="213">
        <f>L41+L48</f>
        <v>-3808</v>
      </c>
      <c r="M40" s="213">
        <f>M41+M48</f>
        <v>-8592</v>
      </c>
      <c r="N40" s="213">
        <f>N41+N48</f>
        <v>-6950</v>
      </c>
      <c r="O40" s="213">
        <f>O41+O48</f>
        <v>-13688</v>
      </c>
      <c r="P40" s="213">
        <f>Sovcombank!AK179</f>
        <v>-20776</v>
      </c>
      <c r="Q40" s="213">
        <f>Sovcombank!AL179</f>
        <v>-29195</v>
      </c>
      <c r="R40" s="213">
        <f>AP40-AH40</f>
        <v>-13326</v>
      </c>
      <c r="S40" s="213">
        <f>AW40-AP40</f>
        <v>-9164</v>
      </c>
      <c r="T40" s="213">
        <f>Sovcombank!AO179</f>
        <v>-10568</v>
      </c>
      <c r="U40" s="213">
        <f>AI40-T40</f>
        <v>-10035</v>
      </c>
      <c r="V40" s="213">
        <f>AQ40-AI40</f>
        <v>-6239</v>
      </c>
      <c r="W40" s="213">
        <f t="shared" ref="W40:W48" si="78">AX40-V40</f>
        <v>-24481</v>
      </c>
      <c r="X40" s="213">
        <f t="shared" ref="X40:AB40" si="79">X41+X48</f>
        <v>-10724.441999999999</v>
      </c>
      <c r="Y40" s="213">
        <f t="shared" si="79"/>
        <v>-16175.000000000004</v>
      </c>
      <c r="Z40" s="213">
        <f t="shared" si="79"/>
        <v>-18745</v>
      </c>
      <c r="AA40" s="213">
        <f t="shared" si="79"/>
        <v>-16588</v>
      </c>
      <c r="AB40" s="213">
        <f t="shared" si="79"/>
        <v>-15402</v>
      </c>
      <c r="AC40" s="213">
        <f>AC41+AC48</f>
        <v>-25757</v>
      </c>
      <c r="AE40" s="213">
        <f t="shared" ref="AE40:AH40" si="80">AE41+AE48</f>
        <v>-3908</v>
      </c>
      <c r="AF40" s="213">
        <f t="shared" si="80"/>
        <v>-11258</v>
      </c>
      <c r="AG40" s="213">
        <f t="shared" si="80"/>
        <v>-12400</v>
      </c>
      <c r="AH40" s="213">
        <f t="shared" si="80"/>
        <v>-29195</v>
      </c>
      <c r="AI40" s="213">
        <f>AI41+AI48</f>
        <v>-20603</v>
      </c>
      <c r="AJ40" s="213">
        <f>AJ41+AJ48</f>
        <v>-26899.442000000003</v>
      </c>
      <c r="AK40" s="213">
        <f>AK41+AK48</f>
        <v>-41159</v>
      </c>
      <c r="AL40" s="257"/>
      <c r="AM40" s="213">
        <f>Sovcombank!AA179</f>
        <v>-6560</v>
      </c>
      <c r="AN40" s="213">
        <f>Sovcombank!AE179</f>
        <v>-16751</v>
      </c>
      <c r="AO40" s="213">
        <f>Sovcombank!AI179</f>
        <v>-20326</v>
      </c>
      <c r="AP40" s="213">
        <f>Sovcombank!AM179</f>
        <v>-42521</v>
      </c>
      <c r="AQ40" s="213">
        <f>Sovcombank!AQ179</f>
        <v>-26842</v>
      </c>
      <c r="AR40" s="213">
        <f>AR41+AR48</f>
        <v>-45644.442000000003</v>
      </c>
      <c r="AS40" s="266"/>
      <c r="AT40" s="213">
        <f>Sovcombank!AB179</f>
        <v>-9125</v>
      </c>
      <c r="AU40" s="213">
        <f>Sovcombank!AF179</f>
        <v>-20326</v>
      </c>
      <c r="AV40" s="213">
        <f>Sovcombank!AJ179</f>
        <v>-33038</v>
      </c>
      <c r="AW40" s="213">
        <f>Sovcombank!AN179</f>
        <v>-51685</v>
      </c>
      <c r="AX40" s="213">
        <f>Sovcombank!AR179</f>
        <v>-30720</v>
      </c>
      <c r="AY40" s="213">
        <f>AY41+AY48</f>
        <v>-62232.442000000003</v>
      </c>
    </row>
    <row r="41" spans="1:51" s="196" customFormat="1" x14ac:dyDescent="0.2">
      <c r="A41" s="167"/>
      <c r="B41" s="201" t="s">
        <v>170</v>
      </c>
      <c r="C41" s="215"/>
      <c r="D41" s="215">
        <f>D42+D45</f>
        <v>-868</v>
      </c>
      <c r="E41" s="215">
        <v>-2002</v>
      </c>
      <c r="F41" s="215">
        <v>-1781</v>
      </c>
      <c r="G41" s="215">
        <v>-2375</v>
      </c>
      <c r="H41" s="215">
        <f>H42+H45</f>
        <v>-4139</v>
      </c>
      <c r="I41" s="215">
        <f t="shared" si="77"/>
        <v>-5033</v>
      </c>
      <c r="J41" s="215">
        <f t="shared" ref="J41:J48" si="81">AN41-AF41</f>
        <v>-4921</v>
      </c>
      <c r="K41" s="215">
        <f t="shared" ref="K41:K47" si="82">AU41-AN41</f>
        <v>-3141</v>
      </c>
      <c r="L41" s="215">
        <f>L42+L45</f>
        <v>-1933</v>
      </c>
      <c r="M41" s="215">
        <f>M42+M45</f>
        <v>-6020</v>
      </c>
      <c r="N41" s="215">
        <f>N42+N45</f>
        <v>-2753</v>
      </c>
      <c r="O41" s="215">
        <f>O42+O45</f>
        <v>-5283</v>
      </c>
      <c r="P41" s="215">
        <f>P42+P45</f>
        <v>-6604</v>
      </c>
      <c r="Q41" s="215">
        <f t="shared" ref="Q41:Q48" si="83">AH41-P41</f>
        <v>-6375</v>
      </c>
      <c r="R41" s="215">
        <f t="shared" ref="R41:R50" si="84">AP41-AH41</f>
        <v>-6759</v>
      </c>
      <c r="S41" s="215">
        <f t="shared" ref="S41:S50" si="85">AW41-AP41</f>
        <v>-6039</v>
      </c>
      <c r="T41" s="215">
        <f>T42+T45</f>
        <v>-4811</v>
      </c>
      <c r="U41" s="215">
        <f>U42+U45</f>
        <v>-6979</v>
      </c>
      <c r="V41" s="215">
        <f t="shared" ref="V41:V51" si="86">AQ41-AI41</f>
        <v>-4528</v>
      </c>
      <c r="W41" s="215">
        <f t="shared" si="78"/>
        <v>-14576</v>
      </c>
      <c r="X41" s="215">
        <f>X42+X45</f>
        <v>-6252.442</v>
      </c>
      <c r="Y41" s="215">
        <f>AJ41-X41</f>
        <v>-13427.000000000004</v>
      </c>
      <c r="Z41" s="215">
        <f>AR41-AJ41</f>
        <v>-13951</v>
      </c>
      <c r="AA41" s="215">
        <f>AY41-AR41</f>
        <v>-11541</v>
      </c>
      <c r="AB41" s="215">
        <f>AB42+AB45</f>
        <v>-14583</v>
      </c>
      <c r="AC41" s="215">
        <f t="shared" ref="AC41:AC51" si="87">AK41-AB41</f>
        <v>-20053</v>
      </c>
      <c r="AE41" s="215">
        <f t="shared" ref="AE41:AI41" si="88">AE42+AE45</f>
        <v>-2870</v>
      </c>
      <c r="AF41" s="215">
        <f t="shared" si="88"/>
        <v>-9172</v>
      </c>
      <c r="AG41" s="215">
        <f t="shared" si="88"/>
        <v>-7953</v>
      </c>
      <c r="AH41" s="215">
        <f t="shared" si="88"/>
        <v>-12979</v>
      </c>
      <c r="AI41" s="215">
        <f t="shared" si="88"/>
        <v>-11790</v>
      </c>
      <c r="AJ41" s="215">
        <f>AJ42+AJ45</f>
        <v>-19679.442000000003</v>
      </c>
      <c r="AK41" s="215">
        <f t="shared" ref="AK41" si="89">AK42+AK45</f>
        <v>-34636</v>
      </c>
      <c r="AM41" s="215">
        <f t="shared" ref="AM41:AQ41" si="90">AM42+AM45</f>
        <v>-4651</v>
      </c>
      <c r="AN41" s="215">
        <f t="shared" si="90"/>
        <v>-14093</v>
      </c>
      <c r="AO41" s="215">
        <f t="shared" si="90"/>
        <v>-10706</v>
      </c>
      <c r="AP41" s="215">
        <f t="shared" si="90"/>
        <v>-19738</v>
      </c>
      <c r="AQ41" s="215">
        <f t="shared" si="90"/>
        <v>-16318</v>
      </c>
      <c r="AR41" s="215">
        <f>AR42+AR45</f>
        <v>-33630.442000000003</v>
      </c>
      <c r="AS41" s="233"/>
      <c r="AT41" s="215">
        <f t="shared" ref="AT41:AX41" si="91">AT42+AT45</f>
        <v>-7026</v>
      </c>
      <c r="AU41" s="215">
        <f t="shared" si="91"/>
        <v>-17234</v>
      </c>
      <c r="AV41" s="215">
        <f t="shared" si="91"/>
        <v>-15989</v>
      </c>
      <c r="AW41" s="215">
        <f t="shared" si="91"/>
        <v>-25777</v>
      </c>
      <c r="AX41" s="215">
        <f t="shared" si="91"/>
        <v>-19104</v>
      </c>
      <c r="AY41" s="215">
        <f>AY42+AY45</f>
        <v>-45171.442000000003</v>
      </c>
    </row>
    <row r="42" spans="1:51" s="196" customFormat="1" x14ac:dyDescent="0.2">
      <c r="A42" s="167"/>
      <c r="B42" s="197" t="s">
        <v>349</v>
      </c>
      <c r="C42" s="8"/>
      <c r="D42" s="8">
        <f>D43+D44</f>
        <v>-552</v>
      </c>
      <c r="E42" s="8">
        <v>-900</v>
      </c>
      <c r="F42" s="8">
        <v>-1322</v>
      </c>
      <c r="G42" s="8">
        <v>-1017</v>
      </c>
      <c r="H42" s="8">
        <f>H43+H44</f>
        <v>-2909</v>
      </c>
      <c r="I42" s="8">
        <f t="shared" si="77"/>
        <v>-2635</v>
      </c>
      <c r="J42" s="8">
        <f>AN42-AF42</f>
        <v>-3392</v>
      </c>
      <c r="K42" s="8">
        <f t="shared" si="82"/>
        <v>-2657</v>
      </c>
      <c r="L42" s="8">
        <f>L43+L44</f>
        <v>-1911</v>
      </c>
      <c r="M42" s="8">
        <f>M43+M44</f>
        <v>-6786</v>
      </c>
      <c r="N42" s="8">
        <f>N43+N44</f>
        <v>-2163</v>
      </c>
      <c r="O42" s="8">
        <f>O43+O44</f>
        <v>-4955</v>
      </c>
      <c r="P42" s="8">
        <f>P43+P44</f>
        <v>-5063</v>
      </c>
      <c r="Q42" s="8">
        <f t="shared" si="83"/>
        <v>-6033</v>
      </c>
      <c r="R42" s="8">
        <f t="shared" si="84"/>
        <v>-5946</v>
      </c>
      <c r="S42" s="8">
        <f t="shared" si="85"/>
        <v>-4884</v>
      </c>
      <c r="T42" s="8">
        <f>T43+T44</f>
        <v>-3244</v>
      </c>
      <c r="U42" s="8">
        <f>U43+U44</f>
        <v>-5512</v>
      </c>
      <c r="V42" s="8">
        <f t="shared" si="86"/>
        <v>-3239</v>
      </c>
      <c r="W42" s="8">
        <f t="shared" si="78"/>
        <v>-11990</v>
      </c>
      <c r="X42" s="8">
        <f>X43+X44</f>
        <v>-4708.326</v>
      </c>
      <c r="Y42" s="8">
        <f t="shared" ref="Y42:Y51" si="92">AJ42-X42</f>
        <v>-11665</v>
      </c>
      <c r="Z42" s="8">
        <f t="shared" ref="Z42:Z51" si="93">AR42-AJ42</f>
        <v>-11385</v>
      </c>
      <c r="AA42" s="8">
        <f>AY42-AR42</f>
        <v>-9136</v>
      </c>
      <c r="AB42" s="8">
        <f>AB43+AB44</f>
        <v>-11250</v>
      </c>
      <c r="AC42" s="8">
        <f t="shared" si="87"/>
        <v>-13438</v>
      </c>
      <c r="AE42" s="8">
        <f t="shared" ref="AE42:AI42" si="94">AE43+AE44</f>
        <v>-1452</v>
      </c>
      <c r="AF42" s="8">
        <f t="shared" si="94"/>
        <v>-5544</v>
      </c>
      <c r="AG42" s="8">
        <f t="shared" si="94"/>
        <v>-8697</v>
      </c>
      <c r="AH42" s="8">
        <f t="shared" si="94"/>
        <v>-11096</v>
      </c>
      <c r="AI42" s="8">
        <f t="shared" si="94"/>
        <v>-8756</v>
      </c>
      <c r="AJ42" s="8">
        <f>AJ43+AJ44</f>
        <v>-16373.326000000001</v>
      </c>
      <c r="AK42" s="8">
        <f t="shared" ref="AK42" si="95">AK43+AK44</f>
        <v>-24688</v>
      </c>
      <c r="AM42" s="8">
        <f t="shared" ref="AM42:AQ42" si="96">AM43+AM44</f>
        <v>-2774</v>
      </c>
      <c r="AN42" s="8">
        <f t="shared" si="96"/>
        <v>-8936</v>
      </c>
      <c r="AO42" s="8">
        <f t="shared" si="96"/>
        <v>-10860</v>
      </c>
      <c r="AP42" s="8">
        <f t="shared" si="96"/>
        <v>-17042</v>
      </c>
      <c r="AQ42" s="8">
        <f t="shared" si="96"/>
        <v>-11995</v>
      </c>
      <c r="AR42" s="8">
        <f>AR43+AR44</f>
        <v>-27758.326000000001</v>
      </c>
      <c r="AS42" s="233"/>
      <c r="AT42" s="8">
        <f t="shared" ref="AT42:AX42" si="97">AT43+AT44</f>
        <v>-3791</v>
      </c>
      <c r="AU42" s="8">
        <f t="shared" si="97"/>
        <v>-11593</v>
      </c>
      <c r="AV42" s="8">
        <f t="shared" si="97"/>
        <v>-15815</v>
      </c>
      <c r="AW42" s="8">
        <f t="shared" si="97"/>
        <v>-21926</v>
      </c>
      <c r="AX42" s="8">
        <f t="shared" si="97"/>
        <v>-15229</v>
      </c>
      <c r="AY42" s="8">
        <f>AY43+AY44</f>
        <v>-36894.326000000001</v>
      </c>
    </row>
    <row r="43" spans="1:51" s="196" customFormat="1" x14ac:dyDescent="0.2">
      <c r="A43" s="167"/>
      <c r="B43" s="204" t="s">
        <v>235</v>
      </c>
      <c r="C43" s="125"/>
      <c r="D43" s="125">
        <v>-396</v>
      </c>
      <c r="E43" s="125">
        <v>-552</v>
      </c>
      <c r="F43" s="125">
        <v>-788</v>
      </c>
      <c r="G43" s="125">
        <v>-393</v>
      </c>
      <c r="H43" s="125">
        <v>-1335</v>
      </c>
      <c r="I43" s="125">
        <f t="shared" si="77"/>
        <v>-1567</v>
      </c>
      <c r="J43" s="125">
        <f t="shared" si="81"/>
        <v>-1933</v>
      </c>
      <c r="K43" s="125">
        <f>AU43-AN43</f>
        <v>-989</v>
      </c>
      <c r="L43" s="125">
        <v>-1306</v>
      </c>
      <c r="M43" s="125">
        <f>AG43-L43</f>
        <v>-1271</v>
      </c>
      <c r="N43" s="125">
        <f>AO43-AG43</f>
        <v>-537</v>
      </c>
      <c r="O43" s="125">
        <f>AV43-AO43</f>
        <v>-6481</v>
      </c>
      <c r="P43" s="125">
        <v>-2473</v>
      </c>
      <c r="Q43" s="125">
        <f t="shared" si="83"/>
        <v>-4045</v>
      </c>
      <c r="R43" s="125">
        <f t="shared" si="84"/>
        <v>-3432</v>
      </c>
      <c r="S43" s="125">
        <f t="shared" si="85"/>
        <v>-2285</v>
      </c>
      <c r="T43" s="125">
        <v>-2880</v>
      </c>
      <c r="U43" s="125">
        <f>AI43-T43</f>
        <v>-4158</v>
      </c>
      <c r="V43" s="125">
        <f t="shared" si="86"/>
        <v>-1659</v>
      </c>
      <c r="W43" s="125">
        <f t="shared" si="78"/>
        <v>-8143</v>
      </c>
      <c r="X43" s="125">
        <v>-1978.0749999999998</v>
      </c>
      <c r="Y43" s="125">
        <f t="shared" si="92"/>
        <v>-8267</v>
      </c>
      <c r="Z43" s="125">
        <f>AR43-AJ43</f>
        <v>-9016</v>
      </c>
      <c r="AA43" s="125">
        <f>AY43-AR43</f>
        <v>-6481</v>
      </c>
      <c r="AB43" s="125">
        <v>-8326</v>
      </c>
      <c r="AC43" s="125">
        <f t="shared" si="87"/>
        <v>-9869</v>
      </c>
      <c r="AE43" s="125">
        <f>SUM(D43:E43)</f>
        <v>-948</v>
      </c>
      <c r="AF43" s="125">
        <v>-2902</v>
      </c>
      <c r="AG43" s="125">
        <v>-2577</v>
      </c>
      <c r="AH43" s="125">
        <v>-6518</v>
      </c>
      <c r="AI43" s="125">
        <v>-7038</v>
      </c>
      <c r="AJ43" s="125">
        <v>-10245.075000000001</v>
      </c>
      <c r="AK43" s="125">
        <v>-18195</v>
      </c>
      <c r="AM43" s="125">
        <v>-1736</v>
      </c>
      <c r="AN43" s="125">
        <v>-4835</v>
      </c>
      <c r="AO43" s="125">
        <v>-3114</v>
      </c>
      <c r="AP43" s="125">
        <v>-9950</v>
      </c>
      <c r="AQ43" s="125">
        <v>-8697</v>
      </c>
      <c r="AR43" s="125">
        <v>-19261.075000000001</v>
      </c>
      <c r="AS43" s="233"/>
      <c r="AT43" s="125">
        <v>-2129</v>
      </c>
      <c r="AU43" s="125">
        <v>-5824</v>
      </c>
      <c r="AV43" s="125">
        <v>-9595</v>
      </c>
      <c r="AW43" s="125">
        <v>-12235</v>
      </c>
      <c r="AX43" s="125">
        <v>-9802</v>
      </c>
      <c r="AY43" s="125">
        <v>-25742.075000000001</v>
      </c>
    </row>
    <row r="44" spans="1:51" s="196" customFormat="1" x14ac:dyDescent="0.2">
      <c r="A44" s="167"/>
      <c r="B44" s="204" t="s">
        <v>236</v>
      </c>
      <c r="C44" s="125"/>
      <c r="D44" s="125">
        <v>-156</v>
      </c>
      <c r="E44" s="125">
        <v>-348</v>
      </c>
      <c r="F44" s="125">
        <v>-534</v>
      </c>
      <c r="G44" s="125">
        <v>-624</v>
      </c>
      <c r="H44" s="125">
        <v>-1574</v>
      </c>
      <c r="I44" s="125">
        <f t="shared" si="77"/>
        <v>-1068</v>
      </c>
      <c r="J44" s="125">
        <f t="shared" si="81"/>
        <v>-1459</v>
      </c>
      <c r="K44" s="125">
        <f t="shared" si="82"/>
        <v>-1668</v>
      </c>
      <c r="L44" s="125">
        <v>-605</v>
      </c>
      <c r="M44" s="125">
        <f>AG44-L44</f>
        <v>-5515</v>
      </c>
      <c r="N44" s="125">
        <f>AO44-AG44</f>
        <v>-1626</v>
      </c>
      <c r="O44" s="125">
        <f>AV44-AO44</f>
        <v>1526</v>
      </c>
      <c r="P44" s="125">
        <v>-2590</v>
      </c>
      <c r="Q44" s="125">
        <f t="shared" si="83"/>
        <v>-1988</v>
      </c>
      <c r="R44" s="125">
        <f t="shared" si="84"/>
        <v>-2514</v>
      </c>
      <c r="S44" s="125">
        <f t="shared" si="85"/>
        <v>-2599</v>
      </c>
      <c r="T44" s="125">
        <v>-364</v>
      </c>
      <c r="U44" s="125">
        <f>AI44-T44</f>
        <v>-1354</v>
      </c>
      <c r="V44" s="125">
        <f t="shared" si="86"/>
        <v>-1580</v>
      </c>
      <c r="W44" s="125">
        <f t="shared" si="78"/>
        <v>-3847</v>
      </c>
      <c r="X44" s="125">
        <v>-2730.2510000000002</v>
      </c>
      <c r="Y44" s="125">
        <f t="shared" si="92"/>
        <v>-3398</v>
      </c>
      <c r="Z44" s="125">
        <f t="shared" si="93"/>
        <v>-2369</v>
      </c>
      <c r="AA44" s="125">
        <f t="shared" ref="AA44:AA51" si="98">AY44-AR44</f>
        <v>-2655</v>
      </c>
      <c r="AB44" s="125">
        <v>-2924</v>
      </c>
      <c r="AC44" s="125">
        <f t="shared" si="87"/>
        <v>-3569</v>
      </c>
      <c r="AE44" s="125">
        <f>SUM(D44:E44)</f>
        <v>-504</v>
      </c>
      <c r="AF44" s="125">
        <v>-2642</v>
      </c>
      <c r="AG44" s="125">
        <v>-6120</v>
      </c>
      <c r="AH44" s="125">
        <v>-4578</v>
      </c>
      <c r="AI44" s="125">
        <v>-1718</v>
      </c>
      <c r="AJ44" s="125">
        <v>-6128.2510000000002</v>
      </c>
      <c r="AK44" s="125">
        <v>-6493</v>
      </c>
      <c r="AM44" s="125">
        <v>-1038</v>
      </c>
      <c r="AN44" s="125">
        <v>-4101</v>
      </c>
      <c r="AO44" s="125">
        <v>-7746</v>
      </c>
      <c r="AP44" s="125">
        <v>-7092</v>
      </c>
      <c r="AQ44" s="125">
        <v>-3298</v>
      </c>
      <c r="AR44" s="125">
        <v>-8497.2510000000002</v>
      </c>
      <c r="AS44" s="233"/>
      <c r="AT44" s="125">
        <v>-1662</v>
      </c>
      <c r="AU44" s="125">
        <v>-5769</v>
      </c>
      <c r="AV44" s="125">
        <v>-6220</v>
      </c>
      <c r="AW44" s="125">
        <v>-9691</v>
      </c>
      <c r="AX44" s="125">
        <v>-5427</v>
      </c>
      <c r="AY44" s="125">
        <v>-11152.251</v>
      </c>
    </row>
    <row r="45" spans="1:51" s="196" customFormat="1" x14ac:dyDescent="0.2">
      <c r="A45" s="167"/>
      <c r="B45" s="197" t="s">
        <v>350</v>
      </c>
      <c r="C45" s="8"/>
      <c r="D45" s="8">
        <f>D46+D47</f>
        <v>-316</v>
      </c>
      <c r="E45" s="8">
        <v>-1102</v>
      </c>
      <c r="F45" s="8">
        <v>-459</v>
      </c>
      <c r="G45" s="8">
        <v>-1358</v>
      </c>
      <c r="H45" s="8">
        <f>H46+H47</f>
        <v>-1230</v>
      </c>
      <c r="I45" s="8">
        <f t="shared" si="77"/>
        <v>-2398</v>
      </c>
      <c r="J45" s="8">
        <f t="shared" si="81"/>
        <v>-1529</v>
      </c>
      <c r="K45" s="8">
        <f t="shared" si="82"/>
        <v>-484</v>
      </c>
      <c r="L45" s="8">
        <f>L46+L47</f>
        <v>-22</v>
      </c>
      <c r="M45" s="8">
        <f>M46+M47</f>
        <v>766</v>
      </c>
      <c r="N45" s="8">
        <f>N46+N47</f>
        <v>-590</v>
      </c>
      <c r="O45" s="8">
        <f>O46+O47</f>
        <v>-328</v>
      </c>
      <c r="P45" s="8">
        <f>P46+P47</f>
        <v>-1541</v>
      </c>
      <c r="Q45" s="8">
        <f t="shared" si="83"/>
        <v>-342</v>
      </c>
      <c r="R45" s="8">
        <f t="shared" si="84"/>
        <v>-813</v>
      </c>
      <c r="S45" s="8">
        <f t="shared" si="85"/>
        <v>-1155</v>
      </c>
      <c r="T45" s="8">
        <f>T46+T47</f>
        <v>-1567</v>
      </c>
      <c r="U45" s="8">
        <f>U46+U47</f>
        <v>-1467</v>
      </c>
      <c r="V45" s="8">
        <f t="shared" si="86"/>
        <v>-1289</v>
      </c>
      <c r="W45" s="8">
        <f t="shared" si="78"/>
        <v>-2586</v>
      </c>
      <c r="X45" s="8">
        <f>X46+X47</f>
        <v>-1544.116</v>
      </c>
      <c r="Y45" s="8">
        <f t="shared" si="92"/>
        <v>-1762</v>
      </c>
      <c r="Z45" s="8">
        <f t="shared" si="93"/>
        <v>-2566</v>
      </c>
      <c r="AA45" s="8">
        <f t="shared" si="98"/>
        <v>-2405</v>
      </c>
      <c r="AB45" s="8">
        <f>AB46+AB47</f>
        <v>-3333</v>
      </c>
      <c r="AC45" s="8">
        <f t="shared" si="87"/>
        <v>-6615</v>
      </c>
      <c r="AE45" s="8">
        <f t="shared" ref="AE45:AK45" si="99">AE46+AE47</f>
        <v>-1418</v>
      </c>
      <c r="AF45" s="8">
        <f t="shared" si="99"/>
        <v>-3628</v>
      </c>
      <c r="AG45" s="8">
        <f t="shared" si="99"/>
        <v>744</v>
      </c>
      <c r="AH45" s="8">
        <f t="shared" si="99"/>
        <v>-1883</v>
      </c>
      <c r="AI45" s="8">
        <f t="shared" si="99"/>
        <v>-3034</v>
      </c>
      <c r="AJ45" s="8">
        <f t="shared" si="99"/>
        <v>-3306.116</v>
      </c>
      <c r="AK45" s="8">
        <f t="shared" si="99"/>
        <v>-9948</v>
      </c>
      <c r="AM45" s="8">
        <f t="shared" ref="AM45:AR45" si="100">AM46+AM47</f>
        <v>-1877</v>
      </c>
      <c r="AN45" s="8">
        <f t="shared" si="100"/>
        <v>-5157</v>
      </c>
      <c r="AO45" s="8">
        <f t="shared" si="100"/>
        <v>154</v>
      </c>
      <c r="AP45" s="8">
        <f t="shared" si="100"/>
        <v>-2696</v>
      </c>
      <c r="AQ45" s="8">
        <f t="shared" si="100"/>
        <v>-4323</v>
      </c>
      <c r="AR45" s="8">
        <f t="shared" si="100"/>
        <v>-5872.116</v>
      </c>
      <c r="AS45" s="233"/>
      <c r="AT45" s="8">
        <f t="shared" ref="AT45:AY45" si="101">AT46+AT47</f>
        <v>-3235</v>
      </c>
      <c r="AU45" s="8">
        <f t="shared" si="101"/>
        <v>-5641</v>
      </c>
      <c r="AV45" s="8">
        <f t="shared" si="101"/>
        <v>-174</v>
      </c>
      <c r="AW45" s="8">
        <f t="shared" si="101"/>
        <v>-3851</v>
      </c>
      <c r="AX45" s="8">
        <f t="shared" si="101"/>
        <v>-3875</v>
      </c>
      <c r="AY45" s="8">
        <f t="shared" si="101"/>
        <v>-8277.116</v>
      </c>
    </row>
    <row r="46" spans="1:51" s="196" customFormat="1" x14ac:dyDescent="0.2">
      <c r="A46" s="167"/>
      <c r="B46" s="204" t="s">
        <v>243</v>
      </c>
      <c r="C46" s="125"/>
      <c r="D46" s="125">
        <v>-362</v>
      </c>
      <c r="E46" s="125">
        <v>-683</v>
      </c>
      <c r="F46" s="125">
        <v>-475</v>
      </c>
      <c r="G46" s="125">
        <v>-647</v>
      </c>
      <c r="H46" s="125">
        <v>-668</v>
      </c>
      <c r="I46" s="125">
        <f t="shared" si="77"/>
        <v>-1730</v>
      </c>
      <c r="J46" s="125">
        <f t="shared" si="81"/>
        <v>-924</v>
      </c>
      <c r="K46" s="125">
        <f t="shared" si="82"/>
        <v>-295</v>
      </c>
      <c r="L46" s="125">
        <v>38</v>
      </c>
      <c r="M46" s="125">
        <f>AG46-L46</f>
        <v>416</v>
      </c>
      <c r="N46" s="125">
        <f>AO46-AG46</f>
        <v>-376</v>
      </c>
      <c r="O46" s="125">
        <f>AV46-AO46</f>
        <v>-110</v>
      </c>
      <c r="P46" s="125">
        <v>-189</v>
      </c>
      <c r="Q46" s="125">
        <f t="shared" si="83"/>
        <v>-300</v>
      </c>
      <c r="R46" s="125">
        <f t="shared" si="84"/>
        <v>-370</v>
      </c>
      <c r="S46" s="125">
        <f t="shared" si="85"/>
        <v>-527</v>
      </c>
      <c r="T46" s="125">
        <v>-706</v>
      </c>
      <c r="U46" s="125">
        <f>AI46-T46</f>
        <v>-932</v>
      </c>
      <c r="V46" s="125">
        <f t="shared" si="86"/>
        <v>-935</v>
      </c>
      <c r="W46" s="125">
        <f t="shared" si="78"/>
        <v>-1670</v>
      </c>
      <c r="X46" s="125">
        <v>-1004</v>
      </c>
      <c r="Y46" s="125">
        <f t="shared" si="92"/>
        <v>-1309</v>
      </c>
      <c r="Z46" s="125">
        <f t="shared" si="93"/>
        <v>-1815</v>
      </c>
      <c r="AA46" s="125">
        <f t="shared" si="98"/>
        <v>-1994</v>
      </c>
      <c r="AB46" s="125">
        <v>-3314</v>
      </c>
      <c r="AC46" s="125">
        <f t="shared" si="87"/>
        <v>-5771</v>
      </c>
      <c r="AE46" s="125">
        <f>SUM(D46:E46)</f>
        <v>-1045</v>
      </c>
      <c r="AF46" s="125">
        <v>-2398</v>
      </c>
      <c r="AG46" s="125">
        <v>454</v>
      </c>
      <c r="AH46" s="125">
        <v>-489</v>
      </c>
      <c r="AI46" s="125">
        <v>-1638</v>
      </c>
      <c r="AJ46" s="125">
        <v>-2313</v>
      </c>
      <c r="AK46" s="125">
        <v>-9085</v>
      </c>
      <c r="AM46" s="125">
        <v>-1520</v>
      </c>
      <c r="AN46" s="125">
        <v>-3322</v>
      </c>
      <c r="AO46" s="125">
        <v>78</v>
      </c>
      <c r="AP46" s="125">
        <v>-859</v>
      </c>
      <c r="AQ46" s="125">
        <v>-2573</v>
      </c>
      <c r="AR46" s="125">
        <v>-4128</v>
      </c>
      <c r="AS46" s="233"/>
      <c r="AT46" s="125">
        <v>-2167</v>
      </c>
      <c r="AU46" s="125">
        <v>-3617</v>
      </c>
      <c r="AV46" s="125">
        <v>-32</v>
      </c>
      <c r="AW46" s="125">
        <v>-1386</v>
      </c>
      <c r="AX46" s="125">
        <v>-2605</v>
      </c>
      <c r="AY46" s="125">
        <v>-6122</v>
      </c>
    </row>
    <row r="47" spans="1:51" s="196" customFormat="1" x14ac:dyDescent="0.2">
      <c r="A47" s="167"/>
      <c r="B47" s="204" t="s">
        <v>42</v>
      </c>
      <c r="C47" s="125"/>
      <c r="D47" s="125">
        <v>46</v>
      </c>
      <c r="E47" s="125">
        <v>-419</v>
      </c>
      <c r="F47" s="125">
        <v>16</v>
      </c>
      <c r="G47" s="125">
        <v>-711</v>
      </c>
      <c r="H47" s="125">
        <v>-562</v>
      </c>
      <c r="I47" s="125">
        <f>AF47-H47</f>
        <v>-668</v>
      </c>
      <c r="J47" s="125">
        <f t="shared" si="81"/>
        <v>-605</v>
      </c>
      <c r="K47" s="125">
        <f t="shared" si="82"/>
        <v>-189</v>
      </c>
      <c r="L47" s="125">
        <v>-60</v>
      </c>
      <c r="M47" s="125">
        <f>AG47-L47</f>
        <v>350</v>
      </c>
      <c r="N47" s="125">
        <f>AO47-AG47</f>
        <v>-214</v>
      </c>
      <c r="O47" s="125">
        <f>AV47-AO47</f>
        <v>-218</v>
      </c>
      <c r="P47" s="125">
        <v>-1352</v>
      </c>
      <c r="Q47" s="125">
        <f t="shared" si="83"/>
        <v>-42</v>
      </c>
      <c r="R47" s="125">
        <f t="shared" si="84"/>
        <v>-443</v>
      </c>
      <c r="S47" s="125">
        <f t="shared" si="85"/>
        <v>-628</v>
      </c>
      <c r="T47" s="125">
        <v>-861</v>
      </c>
      <c r="U47" s="125">
        <f>AI47-T47</f>
        <v>-535</v>
      </c>
      <c r="V47" s="125">
        <f t="shared" si="86"/>
        <v>-354</v>
      </c>
      <c r="W47" s="125">
        <f t="shared" si="78"/>
        <v>-916</v>
      </c>
      <c r="X47" s="125">
        <v>-540.11599999999999</v>
      </c>
      <c r="Y47" s="125">
        <f t="shared" si="92"/>
        <v>-453</v>
      </c>
      <c r="Z47" s="125">
        <f t="shared" si="93"/>
        <v>-751</v>
      </c>
      <c r="AA47" s="125">
        <f t="shared" si="98"/>
        <v>-411</v>
      </c>
      <c r="AB47" s="125">
        <v>-19</v>
      </c>
      <c r="AC47" s="125">
        <f t="shared" si="87"/>
        <v>-844</v>
      </c>
      <c r="AE47" s="125">
        <f>SUM(D47:E47)</f>
        <v>-373</v>
      </c>
      <c r="AF47" s="125">
        <v>-1230</v>
      </c>
      <c r="AG47" s="125">
        <v>290</v>
      </c>
      <c r="AH47" s="125">
        <v>-1394</v>
      </c>
      <c r="AI47" s="125">
        <v>-1396</v>
      </c>
      <c r="AJ47" s="125">
        <v>-993.11599999999999</v>
      </c>
      <c r="AK47" s="125">
        <v>-863</v>
      </c>
      <c r="AM47" s="125">
        <v>-357</v>
      </c>
      <c r="AN47" s="125">
        <v>-1835</v>
      </c>
      <c r="AO47" s="125">
        <v>76</v>
      </c>
      <c r="AP47" s="125">
        <v>-1837</v>
      </c>
      <c r="AQ47" s="125">
        <v>-1750</v>
      </c>
      <c r="AR47" s="125">
        <v>-1744.116</v>
      </c>
      <c r="AS47" s="233"/>
      <c r="AT47" s="125">
        <v>-1068</v>
      </c>
      <c r="AU47" s="125">
        <v>-2024</v>
      </c>
      <c r="AV47" s="125">
        <v>-142</v>
      </c>
      <c r="AW47" s="125">
        <v>-2465</v>
      </c>
      <c r="AX47" s="125">
        <v>-1270</v>
      </c>
      <c r="AY47" s="125">
        <v>-2155.116</v>
      </c>
    </row>
    <row r="48" spans="1:51" s="196" customFormat="1" x14ac:dyDescent="0.2">
      <c r="A48" s="167"/>
      <c r="B48" s="211" t="s">
        <v>337</v>
      </c>
      <c r="C48" s="215"/>
      <c r="D48" s="215">
        <v>-758</v>
      </c>
      <c r="E48" s="215">
        <v>-280</v>
      </c>
      <c r="F48" s="215">
        <v>-871</v>
      </c>
      <c r="G48" s="215">
        <v>-190</v>
      </c>
      <c r="H48" s="215">
        <v>-1134</v>
      </c>
      <c r="I48" s="215">
        <f>AF48-H48</f>
        <v>-952</v>
      </c>
      <c r="J48" s="215">
        <f t="shared" si="81"/>
        <v>-572</v>
      </c>
      <c r="K48" s="215">
        <f>AU48-AN48</f>
        <v>-434</v>
      </c>
      <c r="L48" s="215">
        <v>-1875</v>
      </c>
      <c r="M48" s="215">
        <f>AG48-L48</f>
        <v>-2572</v>
      </c>
      <c r="N48" s="215">
        <f>AO48-AG48</f>
        <v>-4197</v>
      </c>
      <c r="O48" s="215">
        <f>AV48-AO48</f>
        <v>-8405</v>
      </c>
      <c r="P48" s="215">
        <v>-14172</v>
      </c>
      <c r="Q48" s="215">
        <f t="shared" si="83"/>
        <v>-2044</v>
      </c>
      <c r="R48" s="215">
        <f t="shared" si="84"/>
        <v>-6567</v>
      </c>
      <c r="S48" s="215">
        <f t="shared" si="85"/>
        <v>-3125</v>
      </c>
      <c r="T48" s="215">
        <v>-5757</v>
      </c>
      <c r="U48" s="215">
        <f>AI48-T48</f>
        <v>-3056</v>
      </c>
      <c r="V48" s="215">
        <f t="shared" si="86"/>
        <v>-1711</v>
      </c>
      <c r="W48" s="215">
        <f t="shared" si="78"/>
        <v>-9905</v>
      </c>
      <c r="X48" s="215">
        <v>-4472</v>
      </c>
      <c r="Y48" s="215">
        <f t="shared" si="92"/>
        <v>-2748</v>
      </c>
      <c r="Z48" s="215">
        <f t="shared" si="93"/>
        <v>-4794</v>
      </c>
      <c r="AA48" s="215">
        <f t="shared" si="98"/>
        <v>-5047</v>
      </c>
      <c r="AB48" s="215">
        <v>-819</v>
      </c>
      <c r="AC48" s="215">
        <f t="shared" si="87"/>
        <v>-5704</v>
      </c>
      <c r="AE48" s="215">
        <f>SUM(D48:E48)</f>
        <v>-1038</v>
      </c>
      <c r="AF48" s="215">
        <v>-2086</v>
      </c>
      <c r="AG48" s="215">
        <v>-4447</v>
      </c>
      <c r="AH48" s="215">
        <v>-16216</v>
      </c>
      <c r="AI48" s="215">
        <v>-8813</v>
      </c>
      <c r="AJ48" s="215">
        <v>-7220</v>
      </c>
      <c r="AK48" s="215">
        <v>-6523</v>
      </c>
      <c r="AM48" s="215">
        <f>D48+E48+F48</f>
        <v>-1909</v>
      </c>
      <c r="AN48" s="215">
        <v>-2658</v>
      </c>
      <c r="AO48" s="215">
        <v>-8644</v>
      </c>
      <c r="AP48" s="215">
        <v>-22783</v>
      </c>
      <c r="AQ48" s="215">
        <v>-10524</v>
      </c>
      <c r="AR48" s="215">
        <v>-12014</v>
      </c>
      <c r="AS48" s="233"/>
      <c r="AT48" s="215">
        <v>-2099</v>
      </c>
      <c r="AU48" s="215">
        <v>-3092</v>
      </c>
      <c r="AV48" s="215">
        <v>-17049</v>
      </c>
      <c r="AW48" s="215">
        <v>-25908</v>
      </c>
      <c r="AX48" s="215">
        <v>-11616</v>
      </c>
      <c r="AY48" s="215">
        <v>-17061</v>
      </c>
    </row>
    <row r="49" spans="1:51" s="196" customFormat="1" x14ac:dyDescent="0.2">
      <c r="A49" s="167"/>
      <c r="B49" s="201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E49" s="215"/>
      <c r="AF49" s="215"/>
      <c r="AG49" s="215"/>
      <c r="AH49" s="215"/>
      <c r="AI49" s="215"/>
      <c r="AJ49" s="215"/>
      <c r="AK49" s="215"/>
      <c r="AM49" s="215"/>
      <c r="AN49" s="215"/>
      <c r="AO49" s="215"/>
      <c r="AP49" s="215"/>
      <c r="AQ49" s="215"/>
      <c r="AR49" s="215"/>
      <c r="AS49" s="233"/>
      <c r="AT49" s="215"/>
      <c r="AU49" s="215"/>
      <c r="AV49" s="215"/>
      <c r="AW49" s="215"/>
      <c r="AX49" s="215"/>
      <c r="AY49" s="215"/>
    </row>
    <row r="50" spans="1:51" x14ac:dyDescent="0.2">
      <c r="B50" s="211" t="s">
        <v>43</v>
      </c>
      <c r="H50" s="215">
        <v>-1198</v>
      </c>
      <c r="I50" s="215">
        <f>AF50-H50</f>
        <v>-986</v>
      </c>
      <c r="J50" s="215">
        <f>AN50-AF50</f>
        <v>-523</v>
      </c>
      <c r="K50" s="215">
        <f>AU50-AN50</f>
        <v>-600</v>
      </c>
      <c r="L50" s="215">
        <v>-1913</v>
      </c>
      <c r="M50" s="215">
        <f>AG50-L50</f>
        <v>-2601</v>
      </c>
      <c r="N50" s="215">
        <f>AO50-AG50</f>
        <v>-4198</v>
      </c>
      <c r="O50" s="215">
        <f>AV50-AO50</f>
        <v>-8000</v>
      </c>
      <c r="P50" s="215">
        <v>-14180</v>
      </c>
      <c r="Q50" s="215">
        <f>AH50-P50</f>
        <v>-2094</v>
      </c>
      <c r="R50" s="215">
        <f t="shared" si="84"/>
        <v>-6575</v>
      </c>
      <c r="S50" s="215">
        <f t="shared" si="85"/>
        <v>-3160</v>
      </c>
      <c r="T50" s="215">
        <v>-5759</v>
      </c>
      <c r="U50" s="215">
        <f>AI50-T50</f>
        <v>-3056</v>
      </c>
      <c r="V50" s="215">
        <f t="shared" si="86"/>
        <v>-1695</v>
      </c>
      <c r="W50" s="215">
        <f>AX50-V50</f>
        <v>-9936</v>
      </c>
      <c r="X50" s="215">
        <f>X48</f>
        <v>-4472</v>
      </c>
      <c r="Y50" s="215">
        <f t="shared" si="92"/>
        <v>-2748</v>
      </c>
      <c r="Z50" s="215">
        <f t="shared" si="93"/>
        <v>-4794</v>
      </c>
      <c r="AA50" s="215">
        <f t="shared" si="98"/>
        <v>-5044</v>
      </c>
      <c r="AB50" s="215">
        <f>AB48</f>
        <v>-819</v>
      </c>
      <c r="AC50" s="215">
        <f t="shared" si="87"/>
        <v>-5704</v>
      </c>
      <c r="AE50" s="215">
        <f>-1038-325</f>
        <v>-1363</v>
      </c>
      <c r="AF50" s="215">
        <v>-2184</v>
      </c>
      <c r="AG50" s="215">
        <v>-4514</v>
      </c>
      <c r="AH50" s="215">
        <v>-16274</v>
      </c>
      <c r="AI50" s="215">
        <v>-8815</v>
      </c>
      <c r="AJ50" s="215">
        <v>-7220</v>
      </c>
      <c r="AK50" s="215">
        <v>-6523</v>
      </c>
      <c r="AM50" s="215">
        <v>-2353</v>
      </c>
      <c r="AN50" s="215">
        <v>-2707</v>
      </c>
      <c r="AO50" s="215">
        <v>-8712</v>
      </c>
      <c r="AP50" s="215">
        <v>-22849</v>
      </c>
      <c r="AQ50" s="215">
        <v>-10510</v>
      </c>
      <c r="AR50" s="215">
        <f>AR48</f>
        <v>-12014</v>
      </c>
      <c r="AT50" s="215">
        <v>-2586</v>
      </c>
      <c r="AU50" s="215">
        <v>-3307</v>
      </c>
      <c r="AV50" s="215">
        <v>-16712</v>
      </c>
      <c r="AW50" s="215">
        <v>-26009</v>
      </c>
      <c r="AX50" s="215">
        <v>-11631</v>
      </c>
      <c r="AY50" s="215">
        <v>-17058</v>
      </c>
    </row>
    <row r="51" spans="1:51" x14ac:dyDescent="0.2">
      <c r="B51" s="211" t="s">
        <v>259</v>
      </c>
      <c r="H51" s="223">
        <f t="shared" ref="H51:K51" si="102">H48-H50</f>
        <v>64</v>
      </c>
      <c r="I51" s="223">
        <f t="shared" si="102"/>
        <v>34</v>
      </c>
      <c r="J51" s="223">
        <f t="shared" si="102"/>
        <v>-49</v>
      </c>
      <c r="K51" s="223">
        <f t="shared" si="102"/>
        <v>166</v>
      </c>
      <c r="L51" s="223">
        <f t="shared" ref="L51:Q51" si="103">L48-L50</f>
        <v>38</v>
      </c>
      <c r="M51" s="223">
        <f t="shared" si="103"/>
        <v>29</v>
      </c>
      <c r="N51" s="223">
        <f t="shared" si="103"/>
        <v>1</v>
      </c>
      <c r="O51" s="223">
        <f t="shared" si="103"/>
        <v>-405</v>
      </c>
      <c r="P51" s="223">
        <f t="shared" si="103"/>
        <v>8</v>
      </c>
      <c r="Q51" s="223">
        <f t="shared" si="103"/>
        <v>50</v>
      </c>
      <c r="R51" s="223">
        <f>R48-R50</f>
        <v>8</v>
      </c>
      <c r="S51" s="223">
        <f>S48-S50</f>
        <v>35</v>
      </c>
      <c r="T51" s="223">
        <f>T48-T50</f>
        <v>2</v>
      </c>
      <c r="U51" s="223">
        <f>U48-U50</f>
        <v>0</v>
      </c>
      <c r="V51" s="223">
        <f t="shared" si="86"/>
        <v>-16</v>
      </c>
      <c r="W51" s="223">
        <f>AX51-V51</f>
        <v>31</v>
      </c>
      <c r="X51" s="223">
        <f>X48-X50</f>
        <v>0</v>
      </c>
      <c r="Y51" s="223">
        <f t="shared" si="92"/>
        <v>0</v>
      </c>
      <c r="Z51" s="223">
        <f t="shared" si="93"/>
        <v>0</v>
      </c>
      <c r="AA51" s="223">
        <f t="shared" si="98"/>
        <v>-3</v>
      </c>
      <c r="AB51" s="223">
        <f>AB48-AB50</f>
        <v>0</v>
      </c>
      <c r="AC51" s="223">
        <f t="shared" si="87"/>
        <v>0</v>
      </c>
      <c r="AE51" s="223">
        <f t="shared" ref="AE51:AF51" si="104">AE48-AE50</f>
        <v>325</v>
      </c>
      <c r="AF51" s="223">
        <f t="shared" si="104"/>
        <v>98</v>
      </c>
      <c r="AG51" s="223">
        <f>AG48-AG50</f>
        <v>67</v>
      </c>
      <c r="AH51" s="223">
        <f>AH48-AH50</f>
        <v>58</v>
      </c>
      <c r="AI51" s="223">
        <f>AI48-AI50</f>
        <v>2</v>
      </c>
      <c r="AJ51" s="223">
        <f>AJ48-AJ50</f>
        <v>0</v>
      </c>
      <c r="AK51" s="223">
        <f>AK48-AK50</f>
        <v>0</v>
      </c>
      <c r="AM51" s="223">
        <f t="shared" ref="AM51:AR51" si="105">AM48-AM50</f>
        <v>444</v>
      </c>
      <c r="AN51" s="223">
        <f t="shared" si="105"/>
        <v>49</v>
      </c>
      <c r="AO51" s="223">
        <f t="shared" si="105"/>
        <v>68</v>
      </c>
      <c r="AP51" s="223">
        <f t="shared" si="105"/>
        <v>66</v>
      </c>
      <c r="AQ51" s="223">
        <f t="shared" si="105"/>
        <v>-14</v>
      </c>
      <c r="AR51" s="223">
        <f t="shared" si="105"/>
        <v>0</v>
      </c>
      <c r="AT51" s="223">
        <f t="shared" ref="AT51:AY51" si="106">AT48-AT50</f>
        <v>487</v>
      </c>
      <c r="AU51" s="223">
        <f t="shared" si="106"/>
        <v>215</v>
      </c>
      <c r="AV51" s="223">
        <f t="shared" si="106"/>
        <v>-337</v>
      </c>
      <c r="AW51" s="223">
        <f t="shared" si="106"/>
        <v>101</v>
      </c>
      <c r="AX51" s="223">
        <f t="shared" si="106"/>
        <v>15</v>
      </c>
      <c r="AY51" s="223">
        <f t="shared" si="106"/>
        <v>-3</v>
      </c>
    </row>
    <row r="53" spans="1:51" x14ac:dyDescent="0.2">
      <c r="AY53" s="215"/>
    </row>
    <row r="54" spans="1:51" x14ac:dyDescent="0.2">
      <c r="AY54" s="215"/>
    </row>
    <row r="56" spans="1:51" x14ac:dyDescent="0.2">
      <c r="AY56" s="223"/>
    </row>
    <row r="57" spans="1:51" x14ac:dyDescent="0.2">
      <c r="AB57" s="203"/>
      <c r="AC57" s="203"/>
    </row>
    <row r="58" spans="1:51" x14ac:dyDescent="0.2">
      <c r="AY58" s="223"/>
    </row>
    <row r="59" spans="1:51" x14ac:dyDescent="0.2">
      <c r="AY59" s="223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AY53"/>
  <sheetViews>
    <sheetView zoomScale="80" zoomScaleNormal="80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K3" sqref="AK3"/>
    </sheetView>
  </sheetViews>
  <sheetFormatPr defaultColWidth="8.83203125" defaultRowHeight="11.25" outlineLevelCol="1" x14ac:dyDescent="0.2"/>
  <cols>
    <col min="1" max="1" width="2.83203125" style="167" customWidth="1"/>
    <col min="2" max="2" width="44" style="167" bestFit="1" customWidth="1"/>
    <col min="3" max="3" width="10" style="167" hidden="1" customWidth="1" outlineLevel="1"/>
    <col min="4" max="4" width="8.83203125" style="167" hidden="1" customWidth="1" outlineLevel="1"/>
    <col min="5" max="5" width="11.33203125" style="167" hidden="1" customWidth="1" outlineLevel="1"/>
    <col min="6" max="7" width="10" style="167" hidden="1" customWidth="1" outlineLevel="1"/>
    <col min="8" max="8" width="10" style="167" hidden="1" customWidth="1" outlineLevel="1" collapsed="1"/>
    <col min="9" max="10" width="10" style="167" hidden="1" customWidth="1" outlineLevel="1"/>
    <col min="11" max="11" width="8.6640625" style="167" hidden="1" customWidth="1" outlineLevel="1"/>
    <col min="12" max="12" width="10" style="167" hidden="1" customWidth="1" outlineLevel="1" collapsed="1"/>
    <col min="13" max="14" width="10" style="167" hidden="1" customWidth="1" outlineLevel="1"/>
    <col min="15" max="15" width="10" style="167" hidden="1" customWidth="1" outlineLevel="1" collapsed="1"/>
    <col min="16" max="18" width="10" style="167" hidden="1" customWidth="1" outlineLevel="1"/>
    <col min="19" max="19" width="10" style="167" hidden="1" customWidth="1" outlineLevel="1" collapsed="1"/>
    <col min="20" max="22" width="10" style="167" hidden="1" customWidth="1" outlineLevel="1"/>
    <col min="23" max="23" width="10" style="167" customWidth="1" collapsed="1"/>
    <col min="24" max="29" width="10" style="167" customWidth="1"/>
    <col min="30" max="30" width="5.5" style="167" customWidth="1"/>
    <col min="31" max="31" width="10.5" style="167" hidden="1" customWidth="1" outlineLevel="1"/>
    <col min="32" max="32" width="10" style="167" hidden="1" customWidth="1" outlineLevel="1"/>
    <col min="33" max="33" width="10" style="167" hidden="1" customWidth="1" outlineLevel="1" collapsed="1"/>
    <col min="34" max="34" width="10" style="167" hidden="1" customWidth="1" outlineLevel="1"/>
    <col min="35" max="35" width="10" style="167" customWidth="1" collapsed="1"/>
    <col min="36" max="37" width="10" style="167" customWidth="1"/>
    <col min="38" max="38" width="5.5" style="167" customWidth="1"/>
    <col min="39" max="40" width="10" style="167" hidden="1" customWidth="1" outlineLevel="1"/>
    <col min="41" max="41" width="10" style="167" hidden="1" customWidth="1" outlineLevel="1" collapsed="1"/>
    <col min="42" max="42" width="10" style="167" hidden="1" customWidth="1" outlineLevel="1"/>
    <col min="43" max="43" width="10" style="167" customWidth="1" collapsed="1"/>
    <col min="44" max="44" width="10" style="167" customWidth="1"/>
    <col min="45" max="45" width="5.5" style="167" customWidth="1"/>
    <col min="46" max="49" width="10" style="167" hidden="1" customWidth="1" outlineLevel="1"/>
    <col min="50" max="50" width="10" style="167" customWidth="1" collapsed="1"/>
    <col min="51" max="51" width="10" style="167" customWidth="1"/>
    <col min="52" max="16384" width="8.83203125" style="167"/>
  </cols>
  <sheetData>
    <row r="1" spans="2:51" x14ac:dyDescent="0.2"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E1" s="166"/>
      <c r="AF1" s="166"/>
      <c r="AG1" s="166"/>
      <c r="AH1" s="166"/>
      <c r="AI1" s="166"/>
      <c r="AJ1" s="166"/>
      <c r="AK1" s="166"/>
      <c r="AM1" s="166"/>
      <c r="AN1" s="166"/>
      <c r="AO1" s="166"/>
      <c r="AP1" s="166"/>
      <c r="AQ1" s="166"/>
      <c r="AR1" s="166"/>
      <c r="AT1" s="166"/>
      <c r="AU1" s="166"/>
      <c r="AV1" s="166"/>
      <c r="AW1" s="166"/>
      <c r="AX1" s="166"/>
      <c r="AY1" s="166"/>
    </row>
    <row r="2" spans="2:51" x14ac:dyDescent="0.2">
      <c r="B2" s="168"/>
      <c r="C2" s="169" t="s">
        <v>1</v>
      </c>
      <c r="D2" s="169" t="s">
        <v>1</v>
      </c>
      <c r="E2" s="169" t="s">
        <v>1</v>
      </c>
      <c r="F2" s="169" t="s">
        <v>1</v>
      </c>
      <c r="G2" s="169" t="s">
        <v>1</v>
      </c>
      <c r="H2" s="169" t="s">
        <v>1</v>
      </c>
      <c r="I2" s="169" t="s">
        <v>1</v>
      </c>
      <c r="J2" s="169" t="s">
        <v>1</v>
      </c>
      <c r="K2" s="169" t="s">
        <v>1</v>
      </c>
      <c r="L2" s="169" t="s">
        <v>1</v>
      </c>
      <c r="M2" s="169" t="s">
        <v>1</v>
      </c>
      <c r="N2" s="169" t="s">
        <v>1</v>
      </c>
      <c r="O2" s="169" t="s">
        <v>1</v>
      </c>
      <c r="P2" s="169" t="s">
        <v>1</v>
      </c>
      <c r="Q2" s="169" t="s">
        <v>1</v>
      </c>
      <c r="R2" s="169" t="s">
        <v>1</v>
      </c>
      <c r="S2" s="169" t="s">
        <v>1</v>
      </c>
      <c r="T2" s="169" t="s">
        <v>1</v>
      </c>
      <c r="U2" s="169" t="s">
        <v>1</v>
      </c>
      <c r="V2" s="169" t="s">
        <v>1</v>
      </c>
      <c r="W2" s="169" t="s">
        <v>1</v>
      </c>
      <c r="X2" s="169" t="s">
        <v>1</v>
      </c>
      <c r="Y2" s="169" t="s">
        <v>1</v>
      </c>
      <c r="Z2" s="169" t="s">
        <v>1</v>
      </c>
      <c r="AA2" s="169" t="s">
        <v>1</v>
      </c>
      <c r="AB2" s="169" t="s">
        <v>1</v>
      </c>
      <c r="AC2" s="169" t="s">
        <v>1</v>
      </c>
      <c r="AE2" s="170" t="s">
        <v>1</v>
      </c>
      <c r="AF2" s="170" t="s">
        <v>1</v>
      </c>
      <c r="AG2" s="170" t="s">
        <v>1</v>
      </c>
      <c r="AH2" s="170" t="s">
        <v>1</v>
      </c>
      <c r="AI2" s="170" t="s">
        <v>1</v>
      </c>
      <c r="AJ2" s="170" t="s">
        <v>1</v>
      </c>
      <c r="AK2" s="170" t="s">
        <v>1</v>
      </c>
      <c r="AM2" s="170" t="s">
        <v>1</v>
      </c>
      <c r="AN2" s="170" t="s">
        <v>1</v>
      </c>
      <c r="AO2" s="170" t="s">
        <v>1</v>
      </c>
      <c r="AP2" s="170" t="s">
        <v>1</v>
      </c>
      <c r="AQ2" s="170" t="s">
        <v>1</v>
      </c>
      <c r="AR2" s="170" t="s">
        <v>1</v>
      </c>
      <c r="AT2" s="169" t="s">
        <v>1</v>
      </c>
      <c r="AU2" s="169" t="s">
        <v>1</v>
      </c>
      <c r="AV2" s="169" t="s">
        <v>1</v>
      </c>
      <c r="AW2" s="169" t="s">
        <v>1</v>
      </c>
      <c r="AX2" s="169" t="s">
        <v>1</v>
      </c>
      <c r="AY2" s="169" t="s">
        <v>1</v>
      </c>
    </row>
    <row r="3" spans="2:51" x14ac:dyDescent="0.2">
      <c r="B3" s="171"/>
      <c r="C3" s="172" t="s">
        <v>216</v>
      </c>
      <c r="D3" s="172" t="s">
        <v>212</v>
      </c>
      <c r="E3" s="172" t="s">
        <v>312</v>
      </c>
      <c r="F3" s="172" t="s">
        <v>313</v>
      </c>
      <c r="G3" s="172" t="s">
        <v>314</v>
      </c>
      <c r="H3" s="172" t="s">
        <v>315</v>
      </c>
      <c r="I3" s="172" t="s">
        <v>346</v>
      </c>
      <c r="J3" s="172" t="s">
        <v>359</v>
      </c>
      <c r="K3" s="172" t="s">
        <v>369</v>
      </c>
      <c r="L3" s="172" t="s">
        <v>393</v>
      </c>
      <c r="M3" s="172" t="s">
        <v>406</v>
      </c>
      <c r="N3" s="172" t="s">
        <v>412</v>
      </c>
      <c r="O3" s="172" t="s">
        <v>416</v>
      </c>
      <c r="P3" s="172" t="s">
        <v>419</v>
      </c>
      <c r="Q3" s="172" t="s">
        <v>422</v>
      </c>
      <c r="R3" s="172" t="s">
        <v>428</v>
      </c>
      <c r="S3" s="172" t="s">
        <v>430</v>
      </c>
      <c r="T3" s="172" t="s">
        <v>433</v>
      </c>
      <c r="U3" s="172" t="s">
        <v>436</v>
      </c>
      <c r="V3" s="172" t="s">
        <v>457</v>
      </c>
      <c r="W3" s="172" t="s">
        <v>459</v>
      </c>
      <c r="X3" s="172" t="s">
        <v>464</v>
      </c>
      <c r="Y3" s="172" t="s">
        <v>470</v>
      </c>
      <c r="Z3" s="172" t="s">
        <v>474</v>
      </c>
      <c r="AA3" s="172" t="s">
        <v>480</v>
      </c>
      <c r="AB3" s="172" t="s">
        <v>489</v>
      </c>
      <c r="AC3" s="172" t="s">
        <v>507</v>
      </c>
      <c r="AD3" s="178"/>
      <c r="AE3" s="171" t="s">
        <v>316</v>
      </c>
      <c r="AF3" s="171" t="s">
        <v>318</v>
      </c>
      <c r="AG3" s="171" t="s">
        <v>405</v>
      </c>
      <c r="AH3" s="171" t="s">
        <v>423</v>
      </c>
      <c r="AI3" s="171" t="s">
        <v>437</v>
      </c>
      <c r="AJ3" s="171" t="s">
        <v>469</v>
      </c>
      <c r="AK3" s="171" t="s">
        <v>508</v>
      </c>
      <c r="AM3" s="171" t="s">
        <v>317</v>
      </c>
      <c r="AN3" s="171" t="s">
        <v>358</v>
      </c>
      <c r="AO3" s="171" t="s">
        <v>413</v>
      </c>
      <c r="AP3" s="171" t="s">
        <v>429</v>
      </c>
      <c r="AQ3" s="171" t="s">
        <v>456</v>
      </c>
      <c r="AR3" s="171" t="s">
        <v>473</v>
      </c>
      <c r="AT3" s="172" t="s">
        <v>274</v>
      </c>
      <c r="AU3" s="172" t="s">
        <v>353</v>
      </c>
      <c r="AV3" s="172" t="s">
        <v>415</v>
      </c>
      <c r="AW3" s="172" t="s">
        <v>425</v>
      </c>
      <c r="AX3" s="172" t="s">
        <v>458</v>
      </c>
      <c r="AY3" s="172" t="s">
        <v>479</v>
      </c>
    </row>
    <row r="4" spans="2:51" x14ac:dyDescent="0.2">
      <c r="B4" s="173" t="s">
        <v>17</v>
      </c>
      <c r="C4" s="174">
        <v>4</v>
      </c>
      <c r="D4" s="174">
        <v>4</v>
      </c>
      <c r="E4" s="174">
        <v>4</v>
      </c>
      <c r="F4" s="174">
        <v>4</v>
      </c>
      <c r="G4" s="174">
        <v>4</v>
      </c>
      <c r="H4" s="174">
        <v>4</v>
      </c>
      <c r="I4" s="174">
        <v>4</v>
      </c>
      <c r="J4" s="174">
        <v>4</v>
      </c>
      <c r="K4" s="174">
        <v>4</v>
      </c>
      <c r="L4" s="174">
        <v>4</v>
      </c>
      <c r="M4" s="174">
        <v>4</v>
      </c>
      <c r="N4" s="174">
        <v>4</v>
      </c>
      <c r="O4" s="174">
        <v>4</v>
      </c>
      <c r="P4" s="174">
        <v>4</v>
      </c>
      <c r="Q4" s="174">
        <v>4</v>
      </c>
      <c r="R4" s="174">
        <v>4</v>
      </c>
      <c r="S4" s="174">
        <v>4</v>
      </c>
      <c r="T4" s="174">
        <v>4</v>
      </c>
      <c r="U4" s="174">
        <v>4</v>
      </c>
      <c r="V4" s="174">
        <v>4</v>
      </c>
      <c r="W4" s="174">
        <v>4</v>
      </c>
      <c r="X4" s="174">
        <v>4</v>
      </c>
      <c r="Y4" s="174">
        <v>4</v>
      </c>
      <c r="Z4" s="174">
        <v>4</v>
      </c>
      <c r="AA4" s="174">
        <v>4</v>
      </c>
      <c r="AB4" s="174">
        <v>4</v>
      </c>
      <c r="AC4" s="174">
        <v>4</v>
      </c>
      <c r="AD4" s="58"/>
      <c r="AE4" s="174">
        <v>2</v>
      </c>
      <c r="AF4" s="174">
        <v>2</v>
      </c>
      <c r="AG4" s="174">
        <v>2</v>
      </c>
      <c r="AH4" s="174">
        <v>2</v>
      </c>
      <c r="AI4" s="174">
        <v>2</v>
      </c>
      <c r="AJ4" s="174">
        <v>2</v>
      </c>
      <c r="AK4" s="174">
        <v>2</v>
      </c>
      <c r="AM4" s="174">
        <f t="shared" ref="AM4:AR4" si="0">4/3</f>
        <v>1.3333333333333333</v>
      </c>
      <c r="AN4" s="174">
        <f t="shared" si="0"/>
        <v>1.3333333333333333</v>
      </c>
      <c r="AO4" s="174">
        <f t="shared" si="0"/>
        <v>1.3333333333333333</v>
      </c>
      <c r="AP4" s="174">
        <f t="shared" si="0"/>
        <v>1.3333333333333333</v>
      </c>
      <c r="AQ4" s="174">
        <f t="shared" si="0"/>
        <v>1.3333333333333333</v>
      </c>
      <c r="AR4" s="174">
        <f t="shared" si="0"/>
        <v>1.3333333333333333</v>
      </c>
      <c r="AT4" s="174">
        <v>1</v>
      </c>
      <c r="AU4" s="174">
        <v>1</v>
      </c>
      <c r="AV4" s="174">
        <v>1</v>
      </c>
      <c r="AW4" s="174">
        <v>1</v>
      </c>
      <c r="AX4" s="174">
        <v>1</v>
      </c>
      <c r="AY4" s="174">
        <v>1</v>
      </c>
    </row>
    <row r="5" spans="2:51" x14ac:dyDescent="0.2"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/>
      <c r="AE5" s="175"/>
      <c r="AF5" s="175"/>
      <c r="AG5" s="175"/>
      <c r="AH5" s="175"/>
      <c r="AI5" s="175"/>
      <c r="AJ5" s="175"/>
      <c r="AK5" s="175"/>
      <c r="AM5" s="175"/>
      <c r="AN5" s="175"/>
      <c r="AO5" s="175"/>
      <c r="AP5" s="175"/>
      <c r="AQ5" s="175"/>
      <c r="AR5" s="175"/>
      <c r="AT5" s="175"/>
      <c r="AU5" s="175"/>
      <c r="AV5" s="175"/>
      <c r="AW5" s="175"/>
      <c r="AX5" s="175"/>
      <c r="AY5" s="175"/>
    </row>
    <row r="6" spans="2:51" x14ac:dyDescent="0.2">
      <c r="B6" s="176" t="s">
        <v>342</v>
      </c>
      <c r="C6" s="177"/>
      <c r="D6" s="177"/>
      <c r="E6" s="177"/>
      <c r="F6" s="177"/>
      <c r="G6" s="177"/>
      <c r="H6" s="177">
        <f>-H16*H4/AVERAGE(G33:H33)</f>
        <v>4.6906811435639302E-2</v>
      </c>
      <c r="I6" s="177"/>
      <c r="J6" s="177"/>
      <c r="K6" s="177">
        <f t="shared" ref="K6:AC6" si="1">-K16*K4/AVERAGE(J33:K33)</f>
        <v>3.7359726341625932E-2</v>
      </c>
      <c r="L6" s="177">
        <f t="shared" si="1"/>
        <v>3.963989992439005E-2</v>
      </c>
      <c r="M6" s="177">
        <f t="shared" si="1"/>
        <v>4.1883684787230729E-2</v>
      </c>
      <c r="N6" s="177">
        <f t="shared" si="1"/>
        <v>4.1448443152642789E-2</v>
      </c>
      <c r="O6" s="177">
        <f t="shared" si="1"/>
        <v>4.590757291905781E-2</v>
      </c>
      <c r="P6" s="177">
        <f t="shared" si="1"/>
        <v>6.9227628305118111E-2</v>
      </c>
      <c r="Q6" s="177">
        <f t="shared" si="1"/>
        <v>0.12214301142266344</v>
      </c>
      <c r="R6" s="177">
        <f t="shared" si="1"/>
        <v>0.14670670912983289</v>
      </c>
      <c r="S6" s="177">
        <f t="shared" si="1"/>
        <v>6.4430320019983903E-2</v>
      </c>
      <c r="T6" s="177">
        <f t="shared" si="1"/>
        <v>6.2598598577730993E-2</v>
      </c>
      <c r="U6" s="177">
        <f t="shared" si="1"/>
        <v>6.3310425155450156E-2</v>
      </c>
      <c r="V6" s="177">
        <f t="shared" si="1"/>
        <v>7.7536986373231365E-2</v>
      </c>
      <c r="W6" s="177">
        <f t="shared" si="1"/>
        <v>0.10625625625625626</v>
      </c>
      <c r="X6" s="177">
        <f t="shared" si="1"/>
        <v>0.11892629425298118</v>
      </c>
      <c r="Y6" s="177">
        <f t="shared" si="1"/>
        <v>0.12650868513656768</v>
      </c>
      <c r="Z6" s="177">
        <f t="shared" si="1"/>
        <v>0.14223652910345372</v>
      </c>
      <c r="AA6" s="177">
        <f t="shared" si="1"/>
        <v>0.16247201636976366</v>
      </c>
      <c r="AB6" s="177">
        <f t="shared" si="1"/>
        <v>0.17373969172631459</v>
      </c>
      <c r="AC6" s="177">
        <f t="shared" si="1"/>
        <v>0.17546325884388134</v>
      </c>
      <c r="AD6"/>
      <c r="AE6" s="177"/>
      <c r="AF6" s="177">
        <f>-AF16*AF4/AVERAGE(G33:I33)</f>
        <v>4.5584155532731707E-2</v>
      </c>
      <c r="AG6" s="177">
        <f>-AG16*AG4/AVERAGE(K33:M33)</f>
        <v>4.0564293563835195E-2</v>
      </c>
      <c r="AH6" s="177">
        <f>-AH16*AH4/AVERAGE(O33:Q33)</f>
        <v>9.4282092966798819E-2</v>
      </c>
      <c r="AI6" s="177">
        <f>-AI16*AI4/AVERAGE(S33:U33)</f>
        <v>6.2949521203619727E-2</v>
      </c>
      <c r="AJ6" s="177">
        <f>-AJ16*AJ4/AVERAGE(W33:Y33)</f>
        <v>0.12345918967074984</v>
      </c>
      <c r="AK6" s="177">
        <f>-AK16*AK4/AVERAGE(AA33:AC33)</f>
        <v>0.17365192673068028</v>
      </c>
      <c r="AM6" s="177">
        <f>-AM16*AM4/AVERAGE(C33:AM33)</f>
        <v>2.4663991853589962E-2</v>
      </c>
      <c r="AN6" s="177">
        <f>-AN16*AN4/AVERAGE(G33:J33)</f>
        <v>4.3791013393675457E-2</v>
      </c>
      <c r="AO6" s="177">
        <f>-AO16*AO4/AVERAGE(K33:N33)</f>
        <v>4.1248464887474426E-2</v>
      </c>
      <c r="AP6" s="177">
        <f>-AP16*AP4/AVERAGE(O33:R33)</f>
        <v>8.7175837287589902E-2</v>
      </c>
      <c r="AQ6" s="177">
        <f>-AQ16*AQ4/AVERAGE(S33:V33)</f>
        <v>6.7343273029053047E-2</v>
      </c>
      <c r="AR6" s="177">
        <f>-AR16*AR4/AVERAGE(W33:Z33)</f>
        <v>0.13074569694288002</v>
      </c>
      <c r="AT6" s="177">
        <f>-AT16*AT4/AVERAGE(C33:G33)</f>
        <v>5.1925969952708276E-2</v>
      </c>
      <c r="AU6" s="177">
        <f>-AU16*AU4/AVERAGE(G33:K33)</f>
        <v>4.2591795876143909E-2</v>
      </c>
      <c r="AV6" s="177">
        <f>-AV16*AV4/AVERAGE(K33:O33)</f>
        <v>4.2367126824731809E-2</v>
      </c>
      <c r="AW6" s="177">
        <f>-AW16*AW4/AVERAGE(O33:S33)</f>
        <v>8.0632004112796779E-2</v>
      </c>
      <c r="AX6" s="177">
        <f>-AX16*AX4/AVERAGE(S33:W33)</f>
        <v>7.8355550336505556E-2</v>
      </c>
      <c r="AY6" s="177">
        <f>-AY16*AY4/AVERAGE(W33:AA33)</f>
        <v>0.13886758172843644</v>
      </c>
    </row>
    <row r="7" spans="2:51" x14ac:dyDescent="0.2"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/>
      <c r="AE7" s="178"/>
      <c r="AF7" s="178"/>
      <c r="AG7" s="178"/>
      <c r="AH7" s="178"/>
      <c r="AI7" s="178"/>
      <c r="AJ7" s="178"/>
      <c r="AK7" s="178"/>
      <c r="AM7" s="178"/>
      <c r="AN7" s="178"/>
      <c r="AO7" s="178"/>
      <c r="AP7" s="178"/>
      <c r="AQ7" s="178"/>
      <c r="AR7" s="178"/>
      <c r="AT7" s="178"/>
      <c r="AU7" s="178"/>
      <c r="AV7" s="178"/>
      <c r="AW7" s="178"/>
      <c r="AX7" s="178"/>
      <c r="AY7" s="178"/>
    </row>
    <row r="8" spans="2:51" x14ac:dyDescent="0.2">
      <c r="B8" s="181" t="s">
        <v>319</v>
      </c>
      <c r="C8" s="183"/>
      <c r="D8" s="183"/>
      <c r="E8" s="183"/>
      <c r="F8" s="183"/>
      <c r="G8" s="183"/>
      <c r="H8" s="183">
        <f>H18*H$4/AVERAGE(G49:H49)</f>
        <v>-5.6118030375855249E-2</v>
      </c>
      <c r="I8" s="183"/>
      <c r="J8" s="183"/>
      <c r="K8" s="183">
        <f t="shared" ref="K8:AC8" si="2">K18*K$4/AVERAGE(J49:K49)</f>
        <v>-4.3678452063821885E-2</v>
      </c>
      <c r="L8" s="183">
        <f t="shared" si="2"/>
        <v>-4.2504152261393452E-2</v>
      </c>
      <c r="M8" s="183">
        <f t="shared" si="2"/>
        <v>-4.576861059835545E-2</v>
      </c>
      <c r="N8" s="183">
        <f t="shared" si="2"/>
        <v>-4.115964673013519E-2</v>
      </c>
      <c r="O8" s="183">
        <f t="shared" si="2"/>
        <v>-4.371169730881961E-2</v>
      </c>
      <c r="P8" s="183">
        <f t="shared" si="2"/>
        <v>-5.4646652049249449E-2</v>
      </c>
      <c r="Q8" s="183">
        <f t="shared" si="2"/>
        <v>-0.14693747059320295</v>
      </c>
      <c r="R8" s="183">
        <f t="shared" si="2"/>
        <v>-8.0816139762174333E-2</v>
      </c>
      <c r="S8" s="183">
        <f t="shared" si="2"/>
        <v>-6.4437641813171576E-2</v>
      </c>
      <c r="T8" s="183">
        <f t="shared" si="2"/>
        <v>-6.5168849594599093E-2</v>
      </c>
      <c r="U8" s="183">
        <f t="shared" si="2"/>
        <v>-6.5315470597466618E-2</v>
      </c>
      <c r="V8" s="183">
        <f t="shared" si="2"/>
        <v>-6.5564980849775717E-2</v>
      </c>
      <c r="W8" s="183">
        <f t="shared" si="2"/>
        <v>-8.5432594045777785E-2</v>
      </c>
      <c r="X8" s="183">
        <f t="shared" si="2"/>
        <v>-9.8109582319473032E-2</v>
      </c>
      <c r="Y8" s="183">
        <f t="shared" si="2"/>
        <v>-0.11707068879408651</v>
      </c>
      <c r="Z8" s="183">
        <f t="shared" si="2"/>
        <v>-0.12867745878213308</v>
      </c>
      <c r="AA8" s="183">
        <f t="shared" si="2"/>
        <v>-0.14365585131992475</v>
      </c>
      <c r="AB8" s="183">
        <f t="shared" si="2"/>
        <v>-0.17331792251722861</v>
      </c>
      <c r="AC8" s="183">
        <f t="shared" si="2"/>
        <v>-0.17649611076224606</v>
      </c>
      <c r="AD8" s="129"/>
      <c r="AE8" s="183"/>
      <c r="AF8" s="183"/>
      <c r="AG8" s="183">
        <f>AG18*AG$4/AVERAGE(K49:M49)</f>
        <v>-4.3484024247862504E-2</v>
      </c>
      <c r="AH8" s="183">
        <f>AH18*AH$4/AVERAGE(O49:Q49)</f>
        <v>-0.10251391693712252</v>
      </c>
      <c r="AI8" s="183">
        <f>AI18*AI$4/AVERAGE(S49:U49)</f>
        <v>-6.5259322330686265E-2</v>
      </c>
      <c r="AJ8" s="183">
        <f>AJ18*AJ$4/AVERAGE(W49:Y49)</f>
        <v>-0.10950874899964004</v>
      </c>
      <c r="AK8" s="183">
        <f>AK18*AK$4/AVERAGE(AA49:AC49)</f>
        <v>-0.17481921517601179</v>
      </c>
      <c r="AM8" s="183"/>
      <c r="AN8" s="183">
        <f>AN18*AN$4/AVERAGE(G49:J49)</f>
        <v>-5.3134858062224309E-2</v>
      </c>
      <c r="AO8" s="183">
        <f>AO18*AO$4/AVERAGE(K49:N49)</f>
        <v>-4.3267656356805032E-2</v>
      </c>
      <c r="AP8" s="183">
        <f>AP18*AP$4/AVERAGE(O49:R49)</f>
        <v>-9.5083280038382539E-2</v>
      </c>
      <c r="AQ8" s="183">
        <f>AQ18*AQ$4/AVERAGE(S49:V49)</f>
        <v>-6.5364913002186081E-2</v>
      </c>
      <c r="AR8" s="183">
        <f>AR18*AR$4/AVERAGE(W49:Z49)</f>
        <v>-0.11656967472458941</v>
      </c>
      <c r="AT8" s="183">
        <f>AT18*AT$4/AVERAGE(C49:G49)</f>
        <v>-6.1296216769064001E-2</v>
      </c>
      <c r="AU8" s="183">
        <f>AU18*AU$4/AVERAGE(G49:K49)</f>
        <v>-5.063855536800535E-2</v>
      </c>
      <c r="AV8" s="183">
        <f>AV18*AV$4/AVERAGE(K49:O49)</f>
        <v>-4.3592477928499025E-2</v>
      </c>
      <c r="AW8" s="183">
        <f>AW18*AW$4/AVERAGE(O49:S49)</f>
        <v>-8.6935953834433755E-2</v>
      </c>
      <c r="AX8" s="183">
        <f>AX18*AX$4/AVERAGE(S49:W49)</f>
        <v>-7.0602334507524442E-2</v>
      </c>
      <c r="AY8" s="183">
        <f>AY18*AY$4/AVERAGE(W49:AA49)</f>
        <v>-0.12343823404124654</v>
      </c>
    </row>
    <row r="9" spans="2:51" x14ac:dyDescent="0.2">
      <c r="B9" s="234" t="s">
        <v>121</v>
      </c>
      <c r="C9" s="236"/>
      <c r="D9" s="236"/>
      <c r="E9" s="236"/>
      <c r="F9" s="236"/>
      <c r="G9" s="236"/>
      <c r="H9" s="236">
        <f>H19*H$4/AVERAGE(G38:H38)</f>
        <v>-6.0388328832695307E-2</v>
      </c>
      <c r="I9" s="236"/>
      <c r="J9" s="236"/>
      <c r="K9" s="236">
        <f t="shared" ref="K9:AC9" si="3">K19*K$4/AVERAGE(J38:K38)</f>
        <v>-4.8552336263098697E-2</v>
      </c>
      <c r="L9" s="236">
        <f t="shared" si="3"/>
        <v>-4.7422331648091419E-2</v>
      </c>
      <c r="M9" s="236">
        <f t="shared" si="3"/>
        <v>-5.3042118151001051E-2</v>
      </c>
      <c r="N9" s="236">
        <f t="shared" si="3"/>
        <v>-4.9240522152938011E-2</v>
      </c>
      <c r="O9" s="236">
        <f t="shared" si="3"/>
        <v>-5.2513527337335449E-2</v>
      </c>
      <c r="P9" s="236">
        <f t="shared" si="3"/>
        <v>-6.4141388286163212E-2</v>
      </c>
      <c r="Q9" s="236">
        <f t="shared" si="3"/>
        <v>-0.17021046034701665</v>
      </c>
      <c r="R9" s="236">
        <f t="shared" si="3"/>
        <v>-9.3367799959900327E-2</v>
      </c>
      <c r="S9" s="236">
        <f t="shared" si="3"/>
        <v>-7.531710613376881E-2</v>
      </c>
      <c r="T9" s="236">
        <f t="shared" si="3"/>
        <v>-7.6113195924891644E-2</v>
      </c>
      <c r="U9" s="236">
        <f t="shared" si="3"/>
        <v>-7.4596769084038783E-2</v>
      </c>
      <c r="V9" s="236">
        <f t="shared" si="3"/>
        <v>-7.5773404826797522E-2</v>
      </c>
      <c r="W9" s="236">
        <f t="shared" si="3"/>
        <v>-0.10094270390548761</v>
      </c>
      <c r="X9" s="236">
        <f t="shared" si="3"/>
        <v>-0.11719311726446939</v>
      </c>
      <c r="Y9" s="236">
        <f t="shared" si="3"/>
        <v>-0.13956526770416106</v>
      </c>
      <c r="Z9" s="236">
        <f t="shared" si="3"/>
        <v>-0.15372886741549685</v>
      </c>
      <c r="AA9" s="236">
        <f t="shared" si="3"/>
        <v>-0.1699736712734051</v>
      </c>
      <c r="AB9" s="236">
        <f t="shared" si="3"/>
        <v>-0.20030168242842158</v>
      </c>
      <c r="AC9" s="236">
        <f t="shared" si="3"/>
        <v>-0.20229743183115384</v>
      </c>
      <c r="AE9" s="236"/>
      <c r="AF9" s="236"/>
      <c r="AG9" s="236"/>
      <c r="AH9" s="236">
        <f>AH19*AH$4/AVERAGE(O38:Q38)</f>
        <v>-0.12123595283632732</v>
      </c>
      <c r="AI9" s="236">
        <f>AI19*AI$4/AVERAGE(S38:U38)</f>
        <v>-7.5485255033602899E-2</v>
      </c>
      <c r="AJ9" s="236">
        <f>AJ19*AJ$4/AVERAGE(W38:Y38)</f>
        <v>-0.13111132150096844</v>
      </c>
      <c r="AK9" s="236">
        <f>AK19*AK$4/AVERAGE(AA38:AC38)</f>
        <v>-0.20267530222331268</v>
      </c>
      <c r="AM9" s="236"/>
      <c r="AN9" s="236"/>
      <c r="AO9" s="236"/>
      <c r="AP9" s="236"/>
      <c r="AQ9" s="236">
        <f>AQ19*AQ$4/AVERAGE(S38:V38)</f>
        <v>-7.5402052721170024E-2</v>
      </c>
      <c r="AR9" s="236">
        <f>AR19*AR$4/AVERAGE(W38:Z38)</f>
        <v>-0.13912326881344614</v>
      </c>
      <c r="AT9" s="236"/>
      <c r="AU9" s="236"/>
      <c r="AV9" s="236"/>
      <c r="AW9" s="236"/>
      <c r="AX9" s="236">
        <f>AX19*AX$4/AVERAGE(S38:W38)</f>
        <v>-8.19578504369919E-2</v>
      </c>
      <c r="AY9" s="236">
        <f>AY19*AY$4/AVERAGE(W38:AA38)</f>
        <v>-0.14712839249489276</v>
      </c>
    </row>
    <row r="10" spans="2:51" x14ac:dyDescent="0.2">
      <c r="B10" s="234" t="s">
        <v>379</v>
      </c>
      <c r="C10" s="236"/>
      <c r="D10" s="236"/>
      <c r="E10" s="236"/>
      <c r="F10" s="236"/>
      <c r="G10" s="236"/>
      <c r="H10" s="236">
        <f>H20*H$4/AVERAGE(G39:H39)</f>
        <v>-2.3637282093805698E-2</v>
      </c>
      <c r="I10" s="236"/>
      <c r="J10" s="236"/>
      <c r="K10" s="236">
        <f t="shared" ref="K10:AC10" si="4">K20*K$4/AVERAGE(J39:K39)</f>
        <v>-1.7398224502956874E-2</v>
      </c>
      <c r="L10" s="236">
        <f t="shared" si="4"/>
        <v>-1.8216356357471243E-2</v>
      </c>
      <c r="M10" s="236">
        <f t="shared" si="4"/>
        <v>-1.5696484680474455E-2</v>
      </c>
      <c r="N10" s="236">
        <f t="shared" si="4"/>
        <v>-1.2313277616004235E-2</v>
      </c>
      <c r="O10" s="236">
        <f t="shared" si="4"/>
        <v>-1.3691536441596121E-2</v>
      </c>
      <c r="P10" s="236">
        <f t="shared" si="4"/>
        <v>-1.4660519420212943E-2</v>
      </c>
      <c r="Q10" s="236">
        <f t="shared" si="4"/>
        <v>-2.9171731203333912E-2</v>
      </c>
      <c r="R10" s="236">
        <f t="shared" si="4"/>
        <v>-2.3921581356097243E-2</v>
      </c>
      <c r="S10" s="236">
        <f t="shared" si="4"/>
        <v>-1.9848253180624872E-2</v>
      </c>
      <c r="T10" s="236">
        <f t="shared" si="4"/>
        <v>-2.3851977434158605E-2</v>
      </c>
      <c r="U10" s="236">
        <f t="shared" si="4"/>
        <v>-3.2924916567412352E-2</v>
      </c>
      <c r="V10" s="236">
        <f t="shared" si="4"/>
        <v>-3.1186790562943767E-2</v>
      </c>
      <c r="W10" s="236">
        <f t="shared" si="4"/>
        <v>-3.0670898155751348E-2</v>
      </c>
      <c r="X10" s="236">
        <f t="shared" si="4"/>
        <v>-2.5047870957235277E-2</v>
      </c>
      <c r="Y10" s="236">
        <f t="shared" si="4"/>
        <v>-3.1184453381285053E-2</v>
      </c>
      <c r="Z10" s="236">
        <f t="shared" si="4"/>
        <v>-3.2629314038618767E-2</v>
      </c>
      <c r="AA10" s="236">
        <f t="shared" si="4"/>
        <v>-3.9845834568633262E-2</v>
      </c>
      <c r="AB10" s="236">
        <f t="shared" si="4"/>
        <v>-5.5483673374272888E-2</v>
      </c>
      <c r="AC10" s="236">
        <f t="shared" si="4"/>
        <v>-6.319174939428375E-2</v>
      </c>
      <c r="AE10" s="236"/>
      <c r="AF10" s="236"/>
      <c r="AG10" s="236"/>
      <c r="AH10" s="236">
        <f>AH20*AH$4/AVERAGE(O39:Q39)</f>
        <v>-2.071632830925246E-2</v>
      </c>
      <c r="AI10" s="236">
        <f>AI20*AI$4/AVERAGE(S39:U39)</f>
        <v>-2.8452393882448416E-2</v>
      </c>
      <c r="AJ10" s="236">
        <f>AJ20*AJ$4/AVERAGE(W39:Y39)</f>
        <v>-2.8277404028506977E-2</v>
      </c>
      <c r="AK10" s="236">
        <f>AK20*AK$4/AVERAGE(AA39:AC39)</f>
        <v>-5.7509174525015097E-2</v>
      </c>
      <c r="AM10" s="236"/>
      <c r="AN10" s="236"/>
      <c r="AO10" s="236"/>
      <c r="AP10" s="236"/>
      <c r="AQ10" s="236">
        <f>AQ20*AQ$4/AVERAGE(S39:V39)</f>
        <v>-2.967893047317504E-2</v>
      </c>
      <c r="AR10" s="236">
        <f>AR20*AR$4/AVERAGE(W39:Z39)</f>
        <v>-3.0156600653972864E-2</v>
      </c>
      <c r="AT10" s="236"/>
      <c r="AU10" s="236"/>
      <c r="AV10" s="236"/>
      <c r="AW10" s="236"/>
      <c r="AX10" s="236">
        <f>AX20*AX$4/AVERAGE(S39:W39)</f>
        <v>-3.0060876073287012E-2</v>
      </c>
      <c r="AY10" s="236">
        <f>AY20*AY$4/AVERAGE(W39:AA39)</f>
        <v>-3.2476045248757419E-2</v>
      </c>
    </row>
    <row r="11" spans="2:51" x14ac:dyDescent="0.2">
      <c r="B11" s="181" t="s">
        <v>361</v>
      </c>
      <c r="C11" s="183"/>
      <c r="D11" s="183"/>
      <c r="E11" s="183"/>
      <c r="F11" s="183"/>
      <c r="G11" s="183"/>
      <c r="H11" s="183">
        <f>H21*H$4/AVERAGE(G50:H50)</f>
        <v>-3.9332049529901388E-2</v>
      </c>
      <c r="I11" s="183"/>
      <c r="J11" s="183"/>
      <c r="K11" s="183">
        <f t="shared" ref="K11:AC11" si="5">K21*K$4/AVERAGE(J50:K50)</f>
        <v>-2.5040989715307795E-2</v>
      </c>
      <c r="L11" s="183">
        <f t="shared" si="5"/>
        <v>-2.7746117089522453E-2</v>
      </c>
      <c r="M11" s="183">
        <f t="shared" si="5"/>
        <v>-3.6877687051234231E-2</v>
      </c>
      <c r="N11" s="183">
        <f t="shared" si="5"/>
        <v>-4.2804098271307538E-2</v>
      </c>
      <c r="O11" s="183">
        <f t="shared" si="5"/>
        <v>-4.8095481912719902E-2</v>
      </c>
      <c r="P11" s="183">
        <f t="shared" si="5"/>
        <v>-7.3327023237686459E-2</v>
      </c>
      <c r="Q11" s="183">
        <f t="shared" si="5"/>
        <v>-0.1157327297964241</v>
      </c>
      <c r="R11" s="183">
        <f t="shared" si="5"/>
        <v>-6.9739540345294115E-2</v>
      </c>
      <c r="S11" s="183">
        <f t="shared" si="5"/>
        <v>-6.4586834222254697E-2</v>
      </c>
      <c r="T11" s="183">
        <f t="shared" si="5"/>
        <v>-5.8157538462145927E-2</v>
      </c>
      <c r="U11" s="183">
        <f t="shared" si="5"/>
        <v>-5.8877140540875686E-2</v>
      </c>
      <c r="V11" s="183">
        <f t="shared" si="5"/>
        <v>-8.0329069701921454E-2</v>
      </c>
      <c r="W11" s="183">
        <f t="shared" si="5"/>
        <v>-0.11574865551507878</v>
      </c>
      <c r="X11" s="183">
        <f t="shared" si="5"/>
        <v>-0.13072750346781573</v>
      </c>
      <c r="Y11" s="183">
        <f t="shared" si="5"/>
        <v>-0.13261961208171766</v>
      </c>
      <c r="Z11" s="183">
        <f t="shared" si="5"/>
        <v>-0.15711135333858264</v>
      </c>
      <c r="AA11" s="183">
        <f t="shared" si="5"/>
        <v>-0.17459121218519716</v>
      </c>
      <c r="AB11" s="183">
        <f t="shared" si="5"/>
        <v>-0.16781518690681127</v>
      </c>
      <c r="AC11" s="183">
        <f t="shared" si="5"/>
        <v>-0.17154664433258732</v>
      </c>
      <c r="AD11" s="129"/>
      <c r="AE11" s="183"/>
      <c r="AF11" s="183"/>
      <c r="AG11" s="183">
        <f>AG21*AG$4/AVERAGE(K50:M50)</f>
        <v>-3.2846090973027424E-2</v>
      </c>
      <c r="AH11" s="183">
        <f>AH21*AH$4/AVERAGE(O50:Q50)</f>
        <v>-9.3882824564275685E-2</v>
      </c>
      <c r="AI11" s="183">
        <f>AI21*AI$4/AVERAGE(S50:U50)</f>
        <v>-5.8827896536796119E-2</v>
      </c>
      <c r="AJ11" s="183">
        <f>AJ21*AJ$4/AVERAGE(W50:Y50)</f>
        <v>-0.13134750010927604</v>
      </c>
      <c r="AK11" s="183">
        <f>AK21*AK$4/AVERAGE(AA50:AC50)</f>
        <v>-0.16727336889074149</v>
      </c>
      <c r="AM11" s="183"/>
      <c r="AN11" s="183">
        <f>AN21*AN$4/AVERAGE(G50:J50)</f>
        <v>-3.3374698236432299E-2</v>
      </c>
      <c r="AO11" s="183">
        <f>AO21*AO$4/AVERAGE(K50:N50)</f>
        <v>-3.6554008777620758E-2</v>
      </c>
      <c r="AP11" s="183">
        <f>AP21*AP$4/AVERAGE(O50:R50)</f>
        <v>-8.4983832707193452E-2</v>
      </c>
      <c r="AQ11" s="183">
        <f>AQ21*AQ$4/AVERAGE(S50:V50)</f>
        <v>-6.5579716329949717E-2</v>
      </c>
      <c r="AR11" s="183">
        <f>AR21*AR$4/AVERAGE(W50:Z50)</f>
        <v>-0.1412779112159451</v>
      </c>
      <c r="AT11" s="183">
        <f>AT21*AT$4/AVERAGE(C50:G50)</f>
        <v>-4.0770537613563536E-2</v>
      </c>
      <c r="AU11" s="183">
        <f>AU21*AU$4/AVERAGE(G50:K50)</f>
        <v>-3.0417753014988631E-2</v>
      </c>
      <c r="AV11" s="183">
        <f>AV21*AV$4/AVERAGE(K50:O50)</f>
        <v>-3.9212644622641075E-2</v>
      </c>
      <c r="AW11" s="183">
        <f>AW21*AW$4/AVERAGE(O50:S50)</f>
        <v>-7.7527950191270734E-2</v>
      </c>
      <c r="AX11" s="183">
        <f>AX21*AX$4/AVERAGE(S50:W50)</f>
        <v>-8.0796890370271324E-2</v>
      </c>
      <c r="AY11" s="183">
        <f>AY21*AY$4/AVERAGE(W50:AA50)</f>
        <v>-0.14910043300567635</v>
      </c>
    </row>
    <row r="12" spans="2:51" x14ac:dyDescent="0.2">
      <c r="B12" s="234" t="s">
        <v>121</v>
      </c>
      <c r="C12" s="236"/>
      <c r="D12" s="236"/>
      <c r="E12" s="236"/>
      <c r="F12" s="236"/>
      <c r="G12" s="236"/>
      <c r="H12" s="236">
        <f>H22*H$4/AVERAGE(G41:H41)</f>
        <v>-5.6636443186684295E-2</v>
      </c>
      <c r="I12" s="236"/>
      <c r="J12" s="236"/>
      <c r="K12" s="236">
        <f t="shared" ref="K12:AC12" si="6">K22*K$4/AVERAGE(J41:K41)</f>
        <v>-3.5896259182307107E-2</v>
      </c>
      <c r="L12" s="236">
        <f t="shared" si="6"/>
        <v>-3.7285553661455875E-2</v>
      </c>
      <c r="M12" s="236">
        <f t="shared" si="6"/>
        <v>-4.8248706915014206E-2</v>
      </c>
      <c r="N12" s="236">
        <f t="shared" si="6"/>
        <v>-5.5383668097608516E-2</v>
      </c>
      <c r="O12" s="236">
        <f t="shared" si="6"/>
        <v>-6.0341326642111344E-2</v>
      </c>
      <c r="P12" s="236">
        <f t="shared" si="6"/>
        <v>-8.9549286247583071E-2</v>
      </c>
      <c r="Q12" s="236">
        <f t="shared" si="6"/>
        <v>-0.13801551724286878</v>
      </c>
      <c r="R12" s="236">
        <f t="shared" si="6"/>
        <v>-8.4068136362857954E-2</v>
      </c>
      <c r="S12" s="236">
        <f t="shared" si="6"/>
        <v>-7.6786382479181181E-2</v>
      </c>
      <c r="T12" s="236">
        <f t="shared" si="6"/>
        <v>-6.7487060623656156E-2</v>
      </c>
      <c r="U12" s="236">
        <f t="shared" si="6"/>
        <v>-6.8444083567909333E-2</v>
      </c>
      <c r="V12" s="236">
        <f t="shared" si="6"/>
        <v>-9.3172897744427413E-2</v>
      </c>
      <c r="W12" s="236">
        <f t="shared" si="6"/>
        <v>-0.13045207194079483</v>
      </c>
      <c r="X12" s="236">
        <f t="shared" si="6"/>
        <v>-0.14640567373531171</v>
      </c>
      <c r="Y12" s="236">
        <f t="shared" si="6"/>
        <v>-0.14906674843847426</v>
      </c>
      <c r="Z12" s="236">
        <f t="shared" si="6"/>
        <v>-0.17569658574502522</v>
      </c>
      <c r="AA12" s="236">
        <f t="shared" si="6"/>
        <v>-0.19563782817302769</v>
      </c>
      <c r="AB12" s="236">
        <f t="shared" si="6"/>
        <v>-0.18451064015355673</v>
      </c>
      <c r="AC12" s="236">
        <f t="shared" si="6"/>
        <v>-0.19222134141322109</v>
      </c>
      <c r="AE12" s="236"/>
      <c r="AF12" s="236"/>
      <c r="AG12" s="236">
        <f>AG22*AG$4/AVERAGE(K41:M41)</f>
        <v>-4.3858097402207939E-2</v>
      </c>
      <c r="AH12" s="236">
        <f>AH22*AH$4/AVERAGE(O41:Q41)</f>
        <v>-0.11354038898621831</v>
      </c>
      <c r="AI12" s="236">
        <f>AI22*AI$4/AVERAGE(S41:U41)</f>
        <v>-6.8388687708125007E-2</v>
      </c>
      <c r="AJ12" s="236">
        <f>AJ22*AJ$4/AVERAGE(W41:Y41)</f>
        <v>-0.14672146911101072</v>
      </c>
      <c r="AK12" s="236">
        <f>AK22*AK$4/AVERAGE(AA41:AC41)</f>
        <v>-0.18507293114515291</v>
      </c>
      <c r="AM12" s="236"/>
      <c r="AN12" s="236"/>
      <c r="AO12" s="236"/>
      <c r="AP12" s="236"/>
      <c r="AQ12" s="236">
        <f>AQ22*AQ$4/AVERAGE(S41:V41)</f>
        <v>-7.6081273377225686E-2</v>
      </c>
      <c r="AR12" s="236">
        <f>AR22*AR$4/AVERAGE(W41:Z41)</f>
        <v>-0.15844139863471635</v>
      </c>
      <c r="AT12" s="236">
        <f>AT22*AT$4/AVERAGE(C41:G41)</f>
        <v>-5.9801825386014064E-2</v>
      </c>
      <c r="AU12" s="236">
        <f>AU22*AU$4/AVERAGE(G41:K41)</f>
        <v>-4.3252938957715148E-2</v>
      </c>
      <c r="AV12" s="236">
        <f>AV22*AV$4/AVERAGE(K41:O41)</f>
        <v>-5.0960327597436295E-2</v>
      </c>
      <c r="AW12" s="236">
        <f>AW22*AW$4/AVERAGE(O41:S41)</f>
        <v>-9.2954485468503656E-2</v>
      </c>
      <c r="AX12" s="236">
        <f>AX22*AX$4/AVERAGE(S41:W41)</f>
        <v>-9.2676849391125818E-2</v>
      </c>
      <c r="AY12" s="236">
        <f>AY22*AY$4/AVERAGE(W41:AA41)</f>
        <v>-0.16648125579063072</v>
      </c>
    </row>
    <row r="13" spans="2:51" x14ac:dyDescent="0.2">
      <c r="B13" s="234" t="s">
        <v>379</v>
      </c>
      <c r="C13" s="236"/>
      <c r="D13" s="236"/>
      <c r="E13" s="236"/>
      <c r="F13" s="236"/>
      <c r="G13" s="236"/>
      <c r="H13" s="236">
        <f>H23*H$4/AVERAGE(G42:H42)</f>
        <v>-7.8927866715475751E-3</v>
      </c>
      <c r="I13" s="236"/>
      <c r="J13" s="236"/>
      <c r="K13" s="236">
        <f t="shared" ref="K13:AC13" si="7">K23*K$4/AVERAGE(J42:K42)</f>
        <v>-2.3879087537925611E-3</v>
      </c>
      <c r="L13" s="236">
        <f t="shared" si="7"/>
        <v>-3.0955001834617564E-3</v>
      </c>
      <c r="M13" s="236">
        <f t="shared" si="7"/>
        <v>-1.2567007677656253E-3</v>
      </c>
      <c r="N13" s="236">
        <f t="shared" si="7"/>
        <v>-3.328990707634592E-3</v>
      </c>
      <c r="O13" s="236">
        <f t="shared" si="7"/>
        <v>-6.9699672911091286E-3</v>
      </c>
      <c r="P13" s="236">
        <f t="shared" si="7"/>
        <v>-1.0165619995652055E-2</v>
      </c>
      <c r="Q13" s="236">
        <f t="shared" si="7"/>
        <v>-2.5152289251326392E-2</v>
      </c>
      <c r="R13" s="236">
        <f t="shared" si="7"/>
        <v>-1.6678767209969959E-2</v>
      </c>
      <c r="S13" s="236">
        <f t="shared" si="7"/>
        <v>-1.4789247234506645E-2</v>
      </c>
      <c r="T13" s="236">
        <f t="shared" si="7"/>
        <v>-1.3391110108174347E-2</v>
      </c>
      <c r="U13" s="236">
        <f t="shared" si="7"/>
        <v>-1.2441713573200112E-2</v>
      </c>
      <c r="V13" s="236">
        <f t="shared" si="7"/>
        <v>-1.4281051892437174E-2</v>
      </c>
      <c r="W13" s="236">
        <f t="shared" si="7"/>
        <v>-2.874679406928194E-2</v>
      </c>
      <c r="X13" s="236">
        <f t="shared" si="7"/>
        <v>-3.956356144484259E-2</v>
      </c>
      <c r="Y13" s="236">
        <f t="shared" si="7"/>
        <v>-3.6662028668226369E-2</v>
      </c>
      <c r="Z13" s="236">
        <f t="shared" si="7"/>
        <v>-5.2353801006460539E-2</v>
      </c>
      <c r="AA13" s="236">
        <f t="shared" si="7"/>
        <v>-5.5039835861753671E-2</v>
      </c>
      <c r="AB13" s="236">
        <f t="shared" si="7"/>
        <v>-7.2506048653736943E-2</v>
      </c>
      <c r="AC13" s="236">
        <f t="shared" si="7"/>
        <v>-7.2009468072400357E-2</v>
      </c>
      <c r="AE13" s="236"/>
      <c r="AF13" s="236"/>
      <c r="AG13" s="236">
        <f>AG23*AG$4/AVERAGE(K42:M42)</f>
        <v>-2.1697139681951683E-3</v>
      </c>
      <c r="AH13" s="236">
        <f>AH23*AH$4/AVERAGE(O42:Q42)</f>
        <v>-1.7003780779631779E-2</v>
      </c>
      <c r="AI13" s="236">
        <f>AI23*AI$4/AVERAGE(S42:U42)</f>
        <v>-1.293993638237736E-2</v>
      </c>
      <c r="AJ13" s="236">
        <f>AJ23*AJ$4/AVERAGE(W42:Y42)</f>
        <v>-3.9015679688476954E-2</v>
      </c>
      <c r="AK13" s="236">
        <f>AK23*AK$4/AVERAGE(AA42:AC42)</f>
        <v>-7.2288523802913604E-2</v>
      </c>
      <c r="AM13" s="236"/>
      <c r="AN13" s="236"/>
      <c r="AO13" s="236"/>
      <c r="AP13" s="236"/>
      <c r="AQ13" s="236">
        <f>AQ23*AQ$4/AVERAGE(S42:V42)</f>
        <v>-1.3274400789890463E-2</v>
      </c>
      <c r="AR13" s="236">
        <f>AR23*AR$4/AVERAGE(W42:Z42)</f>
        <v>-4.3063583535717355E-2</v>
      </c>
      <c r="AT13" s="236">
        <f>AT23*AT$4/AVERAGE(C42:G42)</f>
        <v>-8.0255436658612355E-3</v>
      </c>
      <c r="AU13" s="236">
        <f>AU23*AU$4/AVERAGE(G42:K42)</f>
        <v>-4.955597529484222E-3</v>
      </c>
      <c r="AV13" s="236">
        <f>AV23*AV$4/AVERAGE(K42:O42)</f>
        <v>-3.7160553850517078E-3</v>
      </c>
      <c r="AW13" s="236">
        <f>AW23*AW$4/AVERAGE(O42:S42)</f>
        <v>-1.6035481485109103E-2</v>
      </c>
      <c r="AX13" s="236">
        <f>AX23*AX$4/AVERAGE(S42:W42)</f>
        <v>-1.7721226874590285E-2</v>
      </c>
      <c r="AY13" s="236">
        <f>AY23*AY$4/AVERAGE(W42:AA42)</f>
        <v>-4.7032105253303209E-2</v>
      </c>
    </row>
    <row r="14" spans="2:51" x14ac:dyDescent="0.2">
      <c r="B14" s="181" t="s">
        <v>396</v>
      </c>
      <c r="C14" s="183"/>
      <c r="D14" s="183"/>
      <c r="E14" s="183"/>
      <c r="F14" s="183"/>
      <c r="G14" s="183"/>
      <c r="H14" s="183">
        <f>H25*H$4/AVERAGE(G51:H51)</f>
        <v>-4.0729066667668609E-2</v>
      </c>
      <c r="I14" s="183"/>
      <c r="J14" s="183"/>
      <c r="K14" s="183">
        <f t="shared" ref="K14:AC14" si="8">K25*K$4/AVERAGE(J51:K51)</f>
        <v>-4.5259624272836578E-2</v>
      </c>
      <c r="L14" s="183">
        <f t="shared" si="8"/>
        <v>-6.1115984591326895E-2</v>
      </c>
      <c r="M14" s="183">
        <f t="shared" si="8"/>
        <v>-4.5842008008483745E-2</v>
      </c>
      <c r="N14" s="183">
        <f t="shared" si="8"/>
        <v>-3.931782362497592E-2</v>
      </c>
      <c r="O14" s="183">
        <f t="shared" si="8"/>
        <v>-4.5100258869162385E-2</v>
      </c>
      <c r="P14" s="183">
        <f t="shared" si="8"/>
        <v>-9.0134920046726172E-2</v>
      </c>
      <c r="Q14" s="183">
        <f t="shared" si="8"/>
        <v>-6.8893880981404323E-2</v>
      </c>
      <c r="R14" s="183">
        <f t="shared" si="8"/>
        <v>-7.6509670139641078E-2</v>
      </c>
      <c r="S14" s="183">
        <f t="shared" si="8"/>
        <v>-6.3869236399121732E-2</v>
      </c>
      <c r="T14" s="183">
        <f t="shared" si="8"/>
        <v>-7.7895736486367662E-2</v>
      </c>
      <c r="U14" s="183">
        <f t="shared" si="8"/>
        <v>-8.5848236571376704E-2</v>
      </c>
      <c r="V14" s="183">
        <f t="shared" si="8"/>
        <v>-0.11410253260949667</v>
      </c>
      <c r="W14" s="183">
        <f t="shared" si="8"/>
        <v>-0.11805822999306786</v>
      </c>
      <c r="X14" s="183">
        <f t="shared" si="8"/>
        <v>-0.11598174298021015</v>
      </c>
      <c r="Y14" s="183">
        <f t="shared" si="8"/>
        <v>-0.12302024066197807</v>
      </c>
      <c r="Z14" s="183">
        <f t="shared" si="8"/>
        <v>-0.11230470283189196</v>
      </c>
      <c r="AA14" s="183">
        <f t="shared" si="8"/>
        <v>-0.16110480203957842</v>
      </c>
      <c r="AB14" s="183">
        <f t="shared" si="8"/>
        <v>-0.19765238751209246</v>
      </c>
      <c r="AC14" s="183">
        <f t="shared" si="8"/>
        <v>-0.18669025888108601</v>
      </c>
      <c r="AD14" s="129"/>
      <c r="AE14" s="183"/>
      <c r="AF14" s="183"/>
      <c r="AG14" s="183">
        <f>AG25*AG$4/AVERAGE(K51:M51)</f>
        <v>-5.1903573579849281E-2</v>
      </c>
      <c r="AH14" s="183">
        <f>AH25*AH$4/AVERAGE(O51:Q51)</f>
        <v>-7.5762205493941331E-2</v>
      </c>
      <c r="AI14" s="183">
        <f>AI25*AI$4/AVERAGE(S51:U51)</f>
        <v>-7.8459755027938102E-2</v>
      </c>
      <c r="AJ14" s="183">
        <f>AJ25*AJ$4/AVERAGE(W51:Y51)</f>
        <v>-0.12209680987658404</v>
      </c>
      <c r="AK14" s="183">
        <f>AK25*AK$4/AVERAGE(AA51:AC51)</f>
        <v>-0.19483003941805604</v>
      </c>
      <c r="AM14" s="183"/>
      <c r="AN14" s="183">
        <f>AN25*AN$4/AVERAGE(G51:J51)</f>
        <v>-4.2772103167421228E-2</v>
      </c>
      <c r="AO14" s="183">
        <f>AO25*AO$4/AVERAGE(K51:N51)</f>
        <v>-4.7356555417699148E-2</v>
      </c>
      <c r="AP14" s="183">
        <f>AP25*AP$4/AVERAGE(O51:R51)</f>
        <v>-7.4268510866914411E-2</v>
      </c>
      <c r="AQ14" s="183">
        <f>AQ25*AQ$4/AVERAGE(S51:V51)</f>
        <v>-8.8304246157783553E-2</v>
      </c>
      <c r="AR14" s="183">
        <f>AR25*AR$4/AVERAGE(W51:Z51)</f>
        <v>-0.11826182540345827</v>
      </c>
      <c r="AT14" s="183">
        <f>AT25*AT$4/AVERAGE(C51:G51)</f>
        <v>-4.6652219725125517E-2</v>
      </c>
      <c r="AU14" s="183">
        <f>AU25*AU$4/AVERAGE(G51:K51)</f>
        <v>-4.6172991912385247E-2</v>
      </c>
      <c r="AV14" s="183">
        <f>AV25*AV$4/AVERAGE(K51:O51)</f>
        <v>-4.6884363074399971E-2</v>
      </c>
      <c r="AW14" s="183">
        <f>AW25*AW$4/AVERAGE(O51:S51)</f>
        <v>-7.3875675363879331E-2</v>
      </c>
      <c r="AX14" s="183">
        <f>AX25*AX$4/AVERAGE(S51:W51)</f>
        <v>-9.4917712556089995E-2</v>
      </c>
      <c r="AY14" s="183">
        <f>AY25*AY$4/AVERAGE(W51:AA51)</f>
        <v>-0.13275737363243909</v>
      </c>
    </row>
    <row r="15" spans="2:51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E15" s="181"/>
      <c r="AF15" s="181"/>
      <c r="AG15" s="181"/>
      <c r="AH15" s="181"/>
      <c r="AI15" s="181"/>
      <c r="AJ15" s="181"/>
      <c r="AK15" s="181"/>
      <c r="AM15" s="181"/>
      <c r="AN15" s="181"/>
      <c r="AO15" s="181"/>
      <c r="AP15" s="181"/>
      <c r="AQ15" s="181"/>
      <c r="AR15" s="181"/>
      <c r="AT15" s="181"/>
      <c r="AU15" s="181"/>
      <c r="AV15" s="181"/>
      <c r="AW15" s="181"/>
      <c r="AX15" s="181"/>
      <c r="AY15" s="181"/>
    </row>
    <row r="16" spans="2:51" x14ac:dyDescent="0.2">
      <c r="B16" s="176" t="s">
        <v>10</v>
      </c>
      <c r="C16" s="179"/>
      <c r="D16" s="179"/>
      <c r="E16" s="179"/>
      <c r="F16" s="179"/>
      <c r="G16" s="179"/>
      <c r="H16" s="179">
        <f>Sovcombank!AC96</f>
        <v>-12401</v>
      </c>
      <c r="I16" s="179"/>
      <c r="J16" s="179"/>
      <c r="K16" s="179">
        <f>AU16-AN16</f>
        <v>-12097</v>
      </c>
      <c r="L16" s="179">
        <f>Sovcombank!AG96</f>
        <v>-12897</v>
      </c>
      <c r="M16" s="179">
        <f>AG16-L16</f>
        <v>-15304</v>
      </c>
      <c r="N16" s="179">
        <f>AO16-AG16</f>
        <v>-16378</v>
      </c>
      <c r="O16" s="179">
        <f>AV16-AO16</f>
        <v>-19374</v>
      </c>
      <c r="P16" s="179">
        <f>Sovcombank!AK96</f>
        <v>-29458</v>
      </c>
      <c r="Q16" s="179">
        <f>AH16-P16</f>
        <v>-49057</v>
      </c>
      <c r="R16" s="179">
        <f>AP16-Q16</f>
        <v>-60605</v>
      </c>
      <c r="S16" s="179">
        <f>AW16-AP16</f>
        <v>-29017</v>
      </c>
      <c r="T16" s="179">
        <f>Sovcombank!AO96</f>
        <v>-30028</v>
      </c>
      <c r="U16" s="179">
        <f>AI16-T16</f>
        <v>-31295</v>
      </c>
      <c r="V16" s="179">
        <f>AQ16-AI16</f>
        <v>-42494</v>
      </c>
      <c r="W16" s="179">
        <f>AX16-AQ16</f>
        <v>-67936</v>
      </c>
      <c r="X16" s="179">
        <f>Sovcombank!AS96</f>
        <v>-86377</v>
      </c>
      <c r="Y16" s="179">
        <f>AJ16-X16</f>
        <v>-99736</v>
      </c>
      <c r="Z16" s="179">
        <f>AR16-AJ16</f>
        <v>-115281</v>
      </c>
      <c r="AA16" s="179">
        <f>AY16-AR16</f>
        <v>-136540</v>
      </c>
      <c r="AB16" s="179">
        <f>Sovcombank!AW96</f>
        <v>-146915</v>
      </c>
      <c r="AC16" s="179">
        <f>AK16-AB16</f>
        <v>-145132</v>
      </c>
      <c r="AE16" s="179"/>
      <c r="AF16" s="179">
        <f>Sovcombank!AD96</f>
        <v>-25986</v>
      </c>
      <c r="AG16" s="179">
        <f>Sovcombank!AH96</f>
        <v>-28201</v>
      </c>
      <c r="AH16" s="179">
        <f>Sovcombank!AL96</f>
        <v>-78515</v>
      </c>
      <c r="AI16" s="179">
        <f>Sovcombank!AP96</f>
        <v>-61323</v>
      </c>
      <c r="AJ16" s="179">
        <f>Sovcombank!AT96</f>
        <v>-186113</v>
      </c>
      <c r="AK16" s="179">
        <f>Sovcombank!AX96</f>
        <v>-292047</v>
      </c>
      <c r="AM16" s="179">
        <f>Sovcombank!AA96</f>
        <v>-33820</v>
      </c>
      <c r="AN16" s="179">
        <f>Sovcombank!AE96</f>
        <v>-39105</v>
      </c>
      <c r="AO16" s="179">
        <f>Sovcombank!AI96</f>
        <v>-44579</v>
      </c>
      <c r="AP16" s="179">
        <f>Sovcombank!AM96</f>
        <v>-109662</v>
      </c>
      <c r="AQ16" s="179">
        <f>Sovcombank!AQ96</f>
        <v>-103817</v>
      </c>
      <c r="AR16" s="179">
        <f>Sovcombank!AU96</f>
        <v>-301394</v>
      </c>
      <c r="AT16" s="179">
        <f>Sovcombank!AB96</f>
        <v>-44416</v>
      </c>
      <c r="AU16" s="179">
        <f>Sovcombank!AF96</f>
        <v>-51202</v>
      </c>
      <c r="AV16" s="179">
        <f>Sovcombank!AJ96</f>
        <v>-63953</v>
      </c>
      <c r="AW16" s="179">
        <f>Sovcombank!AN96</f>
        <v>-138679</v>
      </c>
      <c r="AX16" s="179">
        <f>Sovcombank!AR96</f>
        <v>-171753</v>
      </c>
      <c r="AY16" s="179">
        <f>Sovcombank!AV96</f>
        <v>-437934</v>
      </c>
    </row>
    <row r="17" spans="2:51" x14ac:dyDescent="0.2"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E17" s="181"/>
      <c r="AF17" s="181"/>
      <c r="AG17" s="181"/>
      <c r="AH17" s="181"/>
      <c r="AI17" s="181"/>
      <c r="AJ17" s="181"/>
      <c r="AK17" s="181"/>
      <c r="AM17" s="181"/>
      <c r="AN17" s="181"/>
      <c r="AO17" s="181"/>
      <c r="AP17" s="181"/>
      <c r="AQ17" s="181"/>
      <c r="AR17" s="181"/>
      <c r="AT17" s="181"/>
      <c r="AU17" s="181"/>
      <c r="AV17" s="181"/>
      <c r="AW17" s="181"/>
      <c r="AX17" s="181"/>
      <c r="AY17" s="181"/>
    </row>
    <row r="18" spans="2:51" x14ac:dyDescent="0.2">
      <c r="B18" s="181" t="s">
        <v>319</v>
      </c>
      <c r="C18" s="185"/>
      <c r="D18" s="185"/>
      <c r="E18" s="185"/>
      <c r="F18" s="185"/>
      <c r="G18" s="185"/>
      <c r="H18" s="185">
        <f>SUM(H19:H20)</f>
        <v>-6334</v>
      </c>
      <c r="I18" s="185"/>
      <c r="J18" s="185"/>
      <c r="K18" s="185">
        <f>AU18-AN18</f>
        <v>-5087</v>
      </c>
      <c r="L18" s="185">
        <f>SUM(L19:L20)</f>
        <v>-5099</v>
      </c>
      <c r="M18" s="185">
        <f>AG18-L18</f>
        <v>-6273</v>
      </c>
      <c r="N18" s="185">
        <f>AO18-AG18</f>
        <v>-6217</v>
      </c>
      <c r="O18" s="185">
        <f>AV18-AO18</f>
        <v>-6562</v>
      </c>
      <c r="P18" s="185">
        <f>SUM(P19:P20)</f>
        <v>-8586</v>
      </c>
      <c r="Q18" s="185">
        <f>SUM(Q19:Q20)</f>
        <v>-24359</v>
      </c>
      <c r="R18" s="185">
        <f>SUM(R19:R20)</f>
        <v>-13776</v>
      </c>
      <c r="S18" s="185">
        <f>SUM(S19:S20)</f>
        <v>-11388</v>
      </c>
      <c r="T18" s="185">
        <f>SUM(T19:T20)</f>
        <v>-11977</v>
      </c>
      <c r="U18" s="185">
        <f>AI18-T18</f>
        <v>-12434</v>
      </c>
      <c r="V18" s="185">
        <f t="shared" ref="V18:AC18" si="9">SUM(V19:V20)</f>
        <v>-12901</v>
      </c>
      <c r="W18" s="185">
        <f t="shared" si="9"/>
        <v>-17441</v>
      </c>
      <c r="X18" s="185">
        <f t="shared" si="9"/>
        <v>-22544</v>
      </c>
      <c r="Y18" s="185">
        <f t="shared" si="9"/>
        <v>-29682</v>
      </c>
      <c r="Z18" s="185">
        <f t="shared" si="9"/>
        <v>-33571</v>
      </c>
      <c r="AA18" s="185">
        <f t="shared" si="9"/>
        <v>-40430</v>
      </c>
      <c r="AB18" s="185">
        <f t="shared" si="9"/>
        <v>-52390</v>
      </c>
      <c r="AC18" s="185">
        <f t="shared" si="9"/>
        <v>-55475</v>
      </c>
      <c r="AE18" s="185"/>
      <c r="AF18" s="185">
        <f t="shared" ref="AF18:AK18" si="10">SUM(AF19:AF20)</f>
        <v>-12433</v>
      </c>
      <c r="AG18" s="185">
        <f t="shared" si="10"/>
        <v>-11372</v>
      </c>
      <c r="AH18" s="185">
        <f t="shared" si="10"/>
        <v>-32945</v>
      </c>
      <c r="AI18" s="185">
        <f t="shared" si="10"/>
        <v>-24411</v>
      </c>
      <c r="AJ18" s="185">
        <f t="shared" si="10"/>
        <v>-52226</v>
      </c>
      <c r="AK18" s="185">
        <f t="shared" si="10"/>
        <v>-107865</v>
      </c>
      <c r="AM18" s="185"/>
      <c r="AN18" s="185">
        <f>SUM(AN19:AN20)</f>
        <v>-18127</v>
      </c>
      <c r="AO18" s="185">
        <f>SUM(AO19:AO20)</f>
        <v>-17589</v>
      </c>
      <c r="AP18" s="185">
        <f>SUM(AP19:AP20)</f>
        <v>-46721</v>
      </c>
      <c r="AQ18" s="185">
        <f>SUM(AQ19:AQ20)</f>
        <v>-37312</v>
      </c>
      <c r="AR18" s="185">
        <f>SUM(AR19:AR20)</f>
        <v>-85797</v>
      </c>
      <c r="AT18" s="185">
        <f t="shared" ref="AT18:AY18" si="11">SUM(AT19:AT20)</f>
        <v>-25435</v>
      </c>
      <c r="AU18" s="185">
        <f t="shared" si="11"/>
        <v>-23214</v>
      </c>
      <c r="AV18" s="185">
        <f t="shared" si="11"/>
        <v>-24151</v>
      </c>
      <c r="AW18" s="185">
        <f t="shared" si="11"/>
        <v>-58109</v>
      </c>
      <c r="AX18" s="185">
        <f t="shared" si="11"/>
        <v>-54753</v>
      </c>
      <c r="AY18" s="185">
        <f t="shared" si="11"/>
        <v>-126227</v>
      </c>
    </row>
    <row r="19" spans="2:51" x14ac:dyDescent="0.2">
      <c r="B19" s="234" t="s">
        <v>121</v>
      </c>
      <c r="C19" s="235"/>
      <c r="D19" s="235"/>
      <c r="E19" s="235"/>
      <c r="F19" s="235"/>
      <c r="G19" s="235"/>
      <c r="H19" s="235">
        <v>-6024</v>
      </c>
      <c r="I19" s="235"/>
      <c r="J19" s="235"/>
      <c r="K19" s="235">
        <f t="shared" ref="K19:K31" si="12">AU19-AN19</f>
        <v>-4770</v>
      </c>
      <c r="L19" s="235">
        <v>-4731</v>
      </c>
      <c r="M19" s="235">
        <f>AG19-L19</f>
        <v>-5854</v>
      </c>
      <c r="N19" s="235">
        <f t="shared" ref="N19:N30" si="13">AO19-AG19</f>
        <v>-5810</v>
      </c>
      <c r="O19" s="235">
        <f t="shared" ref="O19:O30" si="14">AV19-AO19</f>
        <v>-6096</v>
      </c>
      <c r="P19" s="235">
        <v>-8144</v>
      </c>
      <c r="Q19" s="235">
        <f>AH19-P19</f>
        <v>-23561</v>
      </c>
      <c r="R19" s="235">
        <f>AP19-AH19</f>
        <v>-13039</v>
      </c>
      <c r="S19" s="235">
        <f>AW19-AP19</f>
        <v>-10700</v>
      </c>
      <c r="T19" s="235">
        <v>-11059</v>
      </c>
      <c r="U19" s="235">
        <f>AI19-T19</f>
        <v>-11038</v>
      </c>
      <c r="V19" s="235">
        <f>AQ19-AI19</f>
        <v>-11496</v>
      </c>
      <c r="W19" s="235">
        <f>AX19-AQ19</f>
        <v>-16059</v>
      </c>
      <c r="X19" s="235">
        <v>-21352</v>
      </c>
      <c r="Y19" s="235">
        <f>AJ19-X19</f>
        <v>-28041</v>
      </c>
      <c r="Z19" s="235">
        <f>AR19-AJ19</f>
        <v>-31810</v>
      </c>
      <c r="AA19" s="235">
        <f>AY19-AR19</f>
        <v>-38162</v>
      </c>
      <c r="AB19" s="235">
        <v>-49265</v>
      </c>
      <c r="AC19" s="235">
        <f>AK19-AB19</f>
        <v>-51791</v>
      </c>
      <c r="AE19" s="235"/>
      <c r="AF19" s="235">
        <v>-11680</v>
      </c>
      <c r="AG19" s="235">
        <v>-10585</v>
      </c>
      <c r="AH19" s="235">
        <v>-31705</v>
      </c>
      <c r="AI19" s="235">
        <v>-22097</v>
      </c>
      <c r="AJ19" s="235">
        <v>-49393</v>
      </c>
      <c r="AK19" s="235">
        <v>-101056</v>
      </c>
      <c r="AM19" s="235"/>
      <c r="AN19" s="235">
        <v>-17027</v>
      </c>
      <c r="AO19" s="235">
        <v>-16395</v>
      </c>
      <c r="AP19" s="235">
        <v>-44744</v>
      </c>
      <c r="AQ19" s="235">
        <v>-33593</v>
      </c>
      <c r="AR19" s="235">
        <v>-81203</v>
      </c>
      <c r="AT19" s="235">
        <v>-24410</v>
      </c>
      <c r="AU19" s="235">
        <v>-21797</v>
      </c>
      <c r="AV19" s="235">
        <v>-22491</v>
      </c>
      <c r="AW19" s="235">
        <v>-55444</v>
      </c>
      <c r="AX19" s="235">
        <v>-49652</v>
      </c>
      <c r="AY19" s="235">
        <v>-119365</v>
      </c>
    </row>
    <row r="20" spans="2:51" x14ac:dyDescent="0.2">
      <c r="B20" s="234" t="s">
        <v>379</v>
      </c>
      <c r="C20" s="235"/>
      <c r="D20" s="235"/>
      <c r="E20" s="235"/>
      <c r="F20" s="235"/>
      <c r="G20" s="235"/>
      <c r="H20" s="235">
        <v>-310</v>
      </c>
      <c r="I20" s="235"/>
      <c r="J20" s="235"/>
      <c r="K20" s="235">
        <f t="shared" si="12"/>
        <v>-317</v>
      </c>
      <c r="L20" s="235">
        <v>-368</v>
      </c>
      <c r="M20" s="235">
        <f>AG20-L20</f>
        <v>-419</v>
      </c>
      <c r="N20" s="235">
        <f t="shared" si="13"/>
        <v>-407</v>
      </c>
      <c r="O20" s="235">
        <f t="shared" si="14"/>
        <v>-466</v>
      </c>
      <c r="P20" s="235">
        <v>-442</v>
      </c>
      <c r="Q20" s="235">
        <f>AH20-P20</f>
        <v>-798</v>
      </c>
      <c r="R20" s="235">
        <f t="shared" ref="R20:R30" si="15">AP20-AH20</f>
        <v>-737</v>
      </c>
      <c r="S20" s="235">
        <f>AW20-AP20</f>
        <v>-688</v>
      </c>
      <c r="T20" s="235">
        <v>-918</v>
      </c>
      <c r="U20" s="235">
        <f>AI20-T20</f>
        <v>-1396</v>
      </c>
      <c r="V20" s="235">
        <f>AQ20-AI20</f>
        <v>-1405</v>
      </c>
      <c r="W20" s="235">
        <f>AX20-AQ20</f>
        <v>-1382</v>
      </c>
      <c r="X20" s="235">
        <v>-1192</v>
      </c>
      <c r="Y20" s="235">
        <f>AJ20-X20</f>
        <v>-1641</v>
      </c>
      <c r="Z20" s="235">
        <f>AR20-AJ20</f>
        <v>-1761</v>
      </c>
      <c r="AA20" s="235">
        <f>AY20-AR20</f>
        <v>-2268</v>
      </c>
      <c r="AB20" s="235">
        <v>-3125</v>
      </c>
      <c r="AC20" s="235">
        <f>AK20-AB20</f>
        <v>-3684</v>
      </c>
      <c r="AE20" s="235"/>
      <c r="AF20" s="235">
        <v>-753</v>
      </c>
      <c r="AG20" s="235">
        <v>-787</v>
      </c>
      <c r="AH20" s="235">
        <v>-1240</v>
      </c>
      <c r="AI20" s="235">
        <v>-2314</v>
      </c>
      <c r="AJ20" s="235">
        <v>-2833</v>
      </c>
      <c r="AK20" s="235">
        <v>-6809</v>
      </c>
      <c r="AM20" s="235"/>
      <c r="AN20" s="235">
        <v>-1100</v>
      </c>
      <c r="AO20" s="235">
        <v>-1194</v>
      </c>
      <c r="AP20" s="235">
        <v>-1977</v>
      </c>
      <c r="AQ20" s="235">
        <v>-3719</v>
      </c>
      <c r="AR20" s="235">
        <v>-4594</v>
      </c>
      <c r="AT20" s="235">
        <v>-1025</v>
      </c>
      <c r="AU20" s="235">
        <v>-1417</v>
      </c>
      <c r="AV20" s="235">
        <v>-1660</v>
      </c>
      <c r="AW20" s="235">
        <v>-2665</v>
      </c>
      <c r="AX20" s="235">
        <v>-5101</v>
      </c>
      <c r="AY20" s="235">
        <v>-6862</v>
      </c>
    </row>
    <row r="21" spans="2:51" x14ac:dyDescent="0.2">
      <c r="B21" s="181" t="s">
        <v>361</v>
      </c>
      <c r="C21" s="185"/>
      <c r="D21" s="185"/>
      <c r="E21" s="185"/>
      <c r="F21" s="185"/>
      <c r="G21" s="185"/>
      <c r="H21" s="185">
        <f t="shared" ref="H21" si="16">SUM(H22:H24)</f>
        <v>-3342</v>
      </c>
      <c r="I21" s="185"/>
      <c r="J21" s="185"/>
      <c r="K21" s="185">
        <f t="shared" ref="K21" si="17">SUM(K22:K24)</f>
        <v>-2940</v>
      </c>
      <c r="L21" s="185">
        <f>SUM(L22:L24)</f>
        <v>-3971</v>
      </c>
      <c r="M21" s="185">
        <f>SUM(M22:M24)</f>
        <v>-5821</v>
      </c>
      <c r="N21" s="185">
        <f t="shared" ref="N21" si="18">SUM(N22:N24)</f>
        <v>-6921</v>
      </c>
      <c r="O21" s="185">
        <f t="shared" ref="O21" si="19">SUM(O22:O24)</f>
        <v>-8818</v>
      </c>
      <c r="P21" s="185">
        <f t="shared" ref="P21" si="20">SUM(P22:P24)</f>
        <v>-14487</v>
      </c>
      <c r="Q21" s="185">
        <f t="shared" ref="Q21" si="21">SUM(Q22:Q24)</f>
        <v>-20876</v>
      </c>
      <c r="R21" s="185">
        <f t="shared" ref="R21" si="22">SUM(R22:R24)</f>
        <v>-12294</v>
      </c>
      <c r="S21" s="185">
        <f t="shared" ref="S21" si="23">SUM(S22:S24)</f>
        <v>-13702</v>
      </c>
      <c r="T21" s="185">
        <f t="shared" ref="T21" si="24">SUM(T22:T24)</f>
        <v>-14729</v>
      </c>
      <c r="U21" s="185">
        <f t="shared" ref="U21:Y21" si="25">SUM(U22:U24)</f>
        <v>-15787</v>
      </c>
      <c r="V21" s="185">
        <f t="shared" si="25"/>
        <v>-24948</v>
      </c>
      <c r="W21" s="185">
        <f t="shared" si="25"/>
        <v>-44364</v>
      </c>
      <c r="X21" s="185">
        <f t="shared" si="25"/>
        <v>-55368</v>
      </c>
      <c r="Y21" s="185">
        <f t="shared" si="25"/>
        <v>-58835</v>
      </c>
      <c r="Z21" s="185">
        <f>SUM(Z22:Z24)</f>
        <v>-70086</v>
      </c>
      <c r="AA21" s="185">
        <f>SUM(AA22:AA24)</f>
        <v>-78448</v>
      </c>
      <c r="AB21" s="185">
        <f t="shared" ref="AB21:AC21" si="26">SUM(AB22:AB24)</f>
        <v>-72357</v>
      </c>
      <c r="AC21" s="185">
        <f t="shared" si="26"/>
        <v>-68898</v>
      </c>
      <c r="AE21" s="185"/>
      <c r="AF21" s="185">
        <f>SUM(AF22:AF23)</f>
        <v>-6369</v>
      </c>
      <c r="AG21" s="185">
        <f>SUM(AG22:AG24)</f>
        <v>-9792</v>
      </c>
      <c r="AH21" s="185">
        <f t="shared" ref="AH21" si="27">SUM(AH22:AH24)</f>
        <v>-35363</v>
      </c>
      <c r="AI21" s="185">
        <f>SUM(AI22:AI23)</f>
        <v>-30507</v>
      </c>
      <c r="AJ21" s="185">
        <f>SUM(AJ22:AJ23)</f>
        <v>-114188</v>
      </c>
      <c r="AK21" s="185">
        <f>SUM(AK22:AK23)</f>
        <v>-141255</v>
      </c>
      <c r="AM21" s="185"/>
      <c r="AN21" s="185">
        <f>SUM(AN22:AN24)</f>
        <v>-9324</v>
      </c>
      <c r="AO21" s="185">
        <f>SUM(AO22:AO24)</f>
        <v>-16713</v>
      </c>
      <c r="AP21" s="185">
        <f>SUM(AP22:AP24)</f>
        <v>-47657</v>
      </c>
      <c r="AQ21" s="185">
        <f>SUM(AQ22:AQ24)</f>
        <v>-55464</v>
      </c>
      <c r="AR21" s="185">
        <f>SUM(AR22:AR24)</f>
        <v>-184289</v>
      </c>
      <c r="AT21" s="185">
        <f t="shared" ref="AT21:AY21" si="28">SUM(AT22:AT24)</f>
        <v>-10852</v>
      </c>
      <c r="AU21" s="185">
        <f t="shared" si="28"/>
        <v>-12264</v>
      </c>
      <c r="AV21" s="185">
        <f t="shared" si="28"/>
        <v>-25531</v>
      </c>
      <c r="AW21" s="185">
        <f t="shared" si="28"/>
        <v>-61359</v>
      </c>
      <c r="AX21" s="185">
        <f t="shared" si="28"/>
        <v>-99828</v>
      </c>
      <c r="AY21" s="185">
        <f t="shared" si="28"/>
        <v>-262737</v>
      </c>
    </row>
    <row r="22" spans="2:51" x14ac:dyDescent="0.2">
      <c r="B22" s="234" t="s">
        <v>121</v>
      </c>
      <c r="C22" s="235"/>
      <c r="D22" s="235"/>
      <c r="E22" s="235"/>
      <c r="F22" s="235"/>
      <c r="G22" s="235"/>
      <c r="H22" s="235">
        <v>-3042</v>
      </c>
      <c r="I22" s="235"/>
      <c r="J22" s="235"/>
      <c r="K22" s="235">
        <f t="shared" si="12"/>
        <v>-2855</v>
      </c>
      <c r="L22" s="235">
        <v>-3855</v>
      </c>
      <c r="M22" s="235">
        <f>AG22-L22</f>
        <v>-5773</v>
      </c>
      <c r="N22" s="235">
        <f t="shared" si="13"/>
        <v>-6791</v>
      </c>
      <c r="O22" s="235">
        <f t="shared" si="14"/>
        <v>-8525</v>
      </c>
      <c r="P22" s="235">
        <v>-14033</v>
      </c>
      <c r="Q22" s="235">
        <f>AH22-P22</f>
        <v>-19970</v>
      </c>
      <c r="R22" s="235">
        <f t="shared" si="15"/>
        <v>-11659</v>
      </c>
      <c r="S22" s="235">
        <f>AW22-AP22</f>
        <v>-13082</v>
      </c>
      <c r="T22" s="235">
        <v>-14136</v>
      </c>
      <c r="U22" s="235">
        <f>AI22-T22</f>
        <v>-15215</v>
      </c>
      <c r="V22" s="235">
        <f>AQ22-AI22</f>
        <v>-24225</v>
      </c>
      <c r="W22" s="235">
        <f>AX22-AQ22</f>
        <v>-42770</v>
      </c>
      <c r="X22" s="235">
        <v>-52901</v>
      </c>
      <c r="Y22" s="235">
        <f>AJ22-X22</f>
        <v>-56451</v>
      </c>
      <c r="Z22" s="235">
        <f>AR22-AJ22</f>
        <v>-66567</v>
      </c>
      <c r="AA22" s="235">
        <f>AY22-AR22</f>
        <v>-74746</v>
      </c>
      <c r="AB22" s="235">
        <v>-67697</v>
      </c>
      <c r="AC22" s="235">
        <f>AK22-AB22</f>
        <v>-63924</v>
      </c>
      <c r="AE22" s="235"/>
      <c r="AF22" s="235">
        <v>-5963</v>
      </c>
      <c r="AG22" s="235">
        <v>-9628</v>
      </c>
      <c r="AH22" s="235">
        <v>-34003</v>
      </c>
      <c r="AI22" s="235">
        <v>-29351</v>
      </c>
      <c r="AJ22" s="235">
        <v>-109352</v>
      </c>
      <c r="AK22" s="235">
        <v>-131621</v>
      </c>
      <c r="AM22" s="235"/>
      <c r="AN22" s="235">
        <v>-8681</v>
      </c>
      <c r="AO22" s="235">
        <v>-16419</v>
      </c>
      <c r="AP22" s="235">
        <v>-45662</v>
      </c>
      <c r="AQ22" s="235">
        <v>-53576</v>
      </c>
      <c r="AR22" s="235">
        <v>-175919</v>
      </c>
      <c r="AT22" s="235">
        <v>-10097</v>
      </c>
      <c r="AU22" s="235">
        <v>-11536</v>
      </c>
      <c r="AV22" s="235">
        <v>-24944</v>
      </c>
      <c r="AW22" s="235">
        <v>-58744</v>
      </c>
      <c r="AX22" s="235">
        <v>-96346</v>
      </c>
      <c r="AY22" s="235">
        <v>-250665</v>
      </c>
    </row>
    <row r="23" spans="2:51" x14ac:dyDescent="0.2">
      <c r="B23" s="234" t="s">
        <v>379</v>
      </c>
      <c r="C23" s="235"/>
      <c r="D23" s="235"/>
      <c r="E23" s="235"/>
      <c r="F23" s="235"/>
      <c r="G23" s="235"/>
      <c r="H23" s="235">
        <v>-221</v>
      </c>
      <c r="I23" s="235"/>
      <c r="J23" s="235"/>
      <c r="K23" s="235">
        <f t="shared" si="12"/>
        <v>-85</v>
      </c>
      <c r="L23" s="235">
        <v>-116</v>
      </c>
      <c r="M23" s="235">
        <f>AG23-L23</f>
        <v>-48</v>
      </c>
      <c r="N23" s="235">
        <f t="shared" si="13"/>
        <v>-130</v>
      </c>
      <c r="O23" s="235">
        <f t="shared" si="14"/>
        <v>-293</v>
      </c>
      <c r="P23" s="235">
        <v>-415</v>
      </c>
      <c r="Q23" s="235">
        <f>AH23-P23</f>
        <v>-896</v>
      </c>
      <c r="R23" s="235">
        <f t="shared" si="15"/>
        <v>-626</v>
      </c>
      <c r="S23" s="235">
        <f>AW23-AP23</f>
        <v>-617</v>
      </c>
      <c r="T23" s="235">
        <v>-586</v>
      </c>
      <c r="U23" s="235">
        <f>AI23-T23</f>
        <v>-570</v>
      </c>
      <c r="V23" s="235">
        <f>AQ23-AI23</f>
        <v>-722</v>
      </c>
      <c r="W23" s="235">
        <f>AX23-AQ23</f>
        <v>-1593</v>
      </c>
      <c r="X23" s="235">
        <v>-2458</v>
      </c>
      <c r="Y23" s="235">
        <f>AJ23-X23</f>
        <v>-2378</v>
      </c>
      <c r="Z23" s="235">
        <f>AR23-AJ23</f>
        <v>-3519</v>
      </c>
      <c r="AA23" s="235">
        <f>AY23-AR23</f>
        <v>-3702</v>
      </c>
      <c r="AB23" s="235">
        <v>-4660</v>
      </c>
      <c r="AC23" s="235">
        <f>AK23-AB23</f>
        <v>-4974</v>
      </c>
      <c r="AE23" s="235"/>
      <c r="AF23" s="235">
        <v>-406</v>
      </c>
      <c r="AG23" s="235">
        <v>-164</v>
      </c>
      <c r="AH23" s="235">
        <v>-1311</v>
      </c>
      <c r="AI23" s="235">
        <v>-1156</v>
      </c>
      <c r="AJ23" s="235">
        <v>-4836</v>
      </c>
      <c r="AK23" s="235">
        <v>-9634</v>
      </c>
      <c r="AM23" s="235"/>
      <c r="AN23" s="235">
        <v>-541</v>
      </c>
      <c r="AO23" s="235">
        <v>-294</v>
      </c>
      <c r="AP23" s="235">
        <v>-1937</v>
      </c>
      <c r="AQ23" s="235">
        <v>-1878</v>
      </c>
      <c r="AR23" s="235">
        <v>-8355</v>
      </c>
      <c r="AT23" s="235">
        <v>-744</v>
      </c>
      <c r="AU23" s="235">
        <v>-626</v>
      </c>
      <c r="AV23" s="235">
        <v>-587</v>
      </c>
      <c r="AW23" s="235">
        <v>-2554</v>
      </c>
      <c r="AX23" s="235">
        <v>-3471</v>
      </c>
      <c r="AY23" s="235">
        <v>-12057</v>
      </c>
    </row>
    <row r="24" spans="2:51" x14ac:dyDescent="0.2">
      <c r="B24" s="234" t="s">
        <v>122</v>
      </c>
      <c r="C24" s="235"/>
      <c r="D24" s="235"/>
      <c r="E24" s="235"/>
      <c r="F24" s="235"/>
      <c r="G24" s="235"/>
      <c r="H24" s="235">
        <v>-79</v>
      </c>
      <c r="I24" s="235"/>
      <c r="J24" s="235"/>
      <c r="K24" s="235">
        <f>AU24-AN24</f>
        <v>0</v>
      </c>
      <c r="L24" s="235">
        <v>0</v>
      </c>
      <c r="M24" s="235">
        <f>AG24-L24</f>
        <v>0</v>
      </c>
      <c r="N24" s="235">
        <f t="shared" si="13"/>
        <v>0</v>
      </c>
      <c r="O24" s="235">
        <f>AV24-AO24</f>
        <v>0</v>
      </c>
      <c r="P24" s="235">
        <v>-39</v>
      </c>
      <c r="Q24" s="235">
        <f>AH24-P24</f>
        <v>-10</v>
      </c>
      <c r="R24" s="235">
        <f>AP24-AH24</f>
        <v>-9</v>
      </c>
      <c r="S24" s="235">
        <f>AW24-AP24</f>
        <v>-3</v>
      </c>
      <c r="T24" s="235">
        <v>-7</v>
      </c>
      <c r="U24" s="235">
        <f>AI24-T24</f>
        <v>-2</v>
      </c>
      <c r="V24" s="235">
        <f>AQ24-AI24</f>
        <v>-1</v>
      </c>
      <c r="W24" s="235">
        <f>AX24-AQ24</f>
        <v>-1</v>
      </c>
      <c r="X24" s="235">
        <v>-9</v>
      </c>
      <c r="Y24" s="235">
        <f>AJ24-X24</f>
        <v>-6</v>
      </c>
      <c r="Z24" s="235">
        <f>AR24-AJ24</f>
        <v>0</v>
      </c>
      <c r="AA24" s="235">
        <f>AY24-AR24</f>
        <v>0</v>
      </c>
      <c r="AB24" s="235">
        <v>0</v>
      </c>
      <c r="AC24" s="235">
        <f>AK24-AB24</f>
        <v>0</v>
      </c>
      <c r="AE24" s="235"/>
      <c r="AF24" s="235"/>
      <c r="AG24" s="235">
        <v>0</v>
      </c>
      <c r="AH24" s="235">
        <v>-49</v>
      </c>
      <c r="AI24" s="235">
        <v>-9</v>
      </c>
      <c r="AJ24" s="235">
        <v>-15</v>
      </c>
      <c r="AK24" s="235">
        <v>0</v>
      </c>
      <c r="AM24" s="235"/>
      <c r="AN24" s="235">
        <v>-102</v>
      </c>
      <c r="AO24" s="235">
        <v>0</v>
      </c>
      <c r="AP24" s="235">
        <v>-58</v>
      </c>
      <c r="AQ24" s="235">
        <v>-10</v>
      </c>
      <c r="AR24" s="235">
        <v>-15</v>
      </c>
      <c r="AT24" s="235">
        <v>-11</v>
      </c>
      <c r="AU24" s="235">
        <v>-102</v>
      </c>
      <c r="AV24" s="235">
        <v>0</v>
      </c>
      <c r="AW24" s="235">
        <v>-61</v>
      </c>
      <c r="AX24" s="235">
        <v>-11</v>
      </c>
      <c r="AY24" s="235">
        <v>-15</v>
      </c>
    </row>
    <row r="25" spans="2:51" x14ac:dyDescent="0.2">
      <c r="B25" s="181" t="s">
        <v>396</v>
      </c>
      <c r="C25" s="185"/>
      <c r="D25" s="185"/>
      <c r="E25" s="185"/>
      <c r="F25" s="185"/>
      <c r="G25" s="185"/>
      <c r="H25" s="185">
        <f t="shared" ref="H25" si="29">SUM(H26:H31)</f>
        <v>-2709.9949999999999</v>
      </c>
      <c r="I25" s="185"/>
      <c r="J25" s="185"/>
      <c r="K25" s="185">
        <f t="shared" ref="K25" si="30">SUM(K26:K31)</f>
        <v>-4070</v>
      </c>
      <c r="L25" s="185">
        <f>SUM(L26:L31)</f>
        <v>-3805.7</v>
      </c>
      <c r="M25" s="185">
        <f t="shared" ref="M25" si="31">SUM(M26:M31)</f>
        <v>-3231.3</v>
      </c>
      <c r="N25" s="185">
        <f t="shared" ref="N25" si="32">SUM(N26:N31)</f>
        <v>-3240</v>
      </c>
      <c r="O25" s="185">
        <f t="shared" ref="O25" si="33">SUM(O26:O31)</f>
        <v>-3994</v>
      </c>
      <c r="P25" s="185">
        <f t="shared" ref="P25" si="34">SUM(P26:P31)</f>
        <v>-6385</v>
      </c>
      <c r="Q25" s="185">
        <f t="shared" ref="Q25" si="35">SUM(Q26:Q31)</f>
        <v>-3822</v>
      </c>
      <c r="R25" s="185">
        <f t="shared" ref="R25" si="36">SUM(R26:R31)</f>
        <v>-5077</v>
      </c>
      <c r="S25" s="185">
        <f t="shared" ref="S25" si="37">SUM(S26:S31)</f>
        <v>-3927</v>
      </c>
      <c r="T25" s="185">
        <f t="shared" ref="T25" si="38">SUM(T26:T31)</f>
        <v>-3322</v>
      </c>
      <c r="U25" s="185">
        <f t="shared" ref="U25:Y25" si="39">SUM(U26:U31)</f>
        <v>-3074</v>
      </c>
      <c r="V25" s="185">
        <f t="shared" si="39"/>
        <v>-4645</v>
      </c>
      <c r="W25" s="185">
        <f t="shared" si="39"/>
        <v>-6131</v>
      </c>
      <c r="X25" s="185">
        <f t="shared" si="39"/>
        <v>-8465</v>
      </c>
      <c r="Y25" s="185">
        <f t="shared" si="39"/>
        <v>-11219</v>
      </c>
      <c r="Z25" s="185">
        <f t="shared" ref="Z25:AC25" si="40">SUM(Z26:Z31)</f>
        <v>-11624</v>
      </c>
      <c r="AA25" s="185">
        <f t="shared" si="40"/>
        <v>-17662</v>
      </c>
      <c r="AB25" s="185">
        <f t="shared" si="40"/>
        <v>-22168</v>
      </c>
      <c r="AC25" s="185">
        <f t="shared" si="40"/>
        <v>-20759</v>
      </c>
      <c r="AE25" s="185"/>
      <c r="AF25" s="185">
        <f>SUM(AF26:AF30)</f>
        <v>-6861</v>
      </c>
      <c r="AG25" s="185">
        <f>SUM(AG26:AG31)</f>
        <v>-7037</v>
      </c>
      <c r="AH25" s="185">
        <f t="shared" ref="AH25" si="41">SUM(AH26:AH31)</f>
        <v>-10207</v>
      </c>
      <c r="AI25" s="185">
        <f>SUM(AI26:AI31)</f>
        <v>-6396</v>
      </c>
      <c r="AJ25" s="185">
        <f>SUM(AJ26:AJ31)</f>
        <v>-19684</v>
      </c>
      <c r="AK25" s="185">
        <f>SUM(AK26:AK31)</f>
        <v>-42927</v>
      </c>
      <c r="AM25" s="185"/>
      <c r="AN25" s="185">
        <f>SUM(AN26:AN31)</f>
        <v>-11654</v>
      </c>
      <c r="AO25" s="185">
        <f>SUM(AO26:AO31)</f>
        <v>-10277</v>
      </c>
      <c r="AP25" s="185">
        <f>SUM(AP26:AP31)</f>
        <v>-15284</v>
      </c>
      <c r="AQ25" s="185">
        <f>SUM(AQ26:AQ31)</f>
        <v>-11041</v>
      </c>
      <c r="AR25" s="185">
        <f>SUM(AR26:AR31)</f>
        <v>-31308</v>
      </c>
      <c r="AT25" s="185">
        <f t="shared" ref="AT25:AY25" si="42">SUM(AT26:AT31)</f>
        <v>-8129</v>
      </c>
      <c r="AU25" s="185">
        <f t="shared" si="42"/>
        <v>-15724</v>
      </c>
      <c r="AV25" s="185">
        <f t="shared" si="42"/>
        <v>-14271</v>
      </c>
      <c r="AW25" s="185">
        <f t="shared" si="42"/>
        <v>-19211</v>
      </c>
      <c r="AX25" s="185">
        <f t="shared" si="42"/>
        <v>-17172</v>
      </c>
      <c r="AY25" s="185">
        <f t="shared" si="42"/>
        <v>-48970</v>
      </c>
    </row>
    <row r="26" spans="2:51" x14ac:dyDescent="0.2">
      <c r="B26" s="234" t="s">
        <v>63</v>
      </c>
      <c r="C26" s="235"/>
      <c r="D26" s="235"/>
      <c r="E26" s="235"/>
      <c r="F26" s="235"/>
      <c r="G26" s="235"/>
      <c r="H26" s="235">
        <v>-926.995</v>
      </c>
      <c r="I26" s="235"/>
      <c r="J26" s="235"/>
      <c r="K26" s="235">
        <f t="shared" si="12"/>
        <v>-2009</v>
      </c>
      <c r="L26" s="235">
        <v>-1273.7</v>
      </c>
      <c r="M26" s="235">
        <f>AG26-L26</f>
        <v>-1110.3</v>
      </c>
      <c r="N26" s="235">
        <f t="shared" si="13"/>
        <v>-1069</v>
      </c>
      <c r="O26" s="235">
        <f t="shared" si="14"/>
        <v>-1450</v>
      </c>
      <c r="P26" s="235">
        <v>-3798</v>
      </c>
      <c r="Q26" s="235">
        <f>AH26-P26</f>
        <v>-1247</v>
      </c>
      <c r="R26" s="235">
        <f t="shared" si="15"/>
        <v>-2586</v>
      </c>
      <c r="S26" s="235">
        <f>AW26-AP26</f>
        <v>-1745</v>
      </c>
      <c r="T26" s="235">
        <v>-1101</v>
      </c>
      <c r="U26" s="235">
        <f>AI26-T26</f>
        <v>-815</v>
      </c>
      <c r="V26" s="235">
        <f>AQ26-AI26</f>
        <v>-2216</v>
      </c>
      <c r="W26" s="235">
        <f>AX26-AQ26</f>
        <v>-3760</v>
      </c>
      <c r="X26" s="235">
        <v>-6133</v>
      </c>
      <c r="Y26" s="235">
        <f>AJ26-X26</f>
        <v>-8159</v>
      </c>
      <c r="Z26" s="235">
        <f>AR26-AJ26</f>
        <v>-8322</v>
      </c>
      <c r="AA26" s="235">
        <f>AY26-AR26</f>
        <v>-13150</v>
      </c>
      <c r="AB26" s="235">
        <v>-16606</v>
      </c>
      <c r="AC26" s="235">
        <f t="shared" ref="AC26:AC31" si="43">AK26-AB26</f>
        <v>-15061</v>
      </c>
      <c r="AE26" s="235"/>
      <c r="AF26" s="235">
        <v>-3345</v>
      </c>
      <c r="AG26" s="235">
        <v>-2384</v>
      </c>
      <c r="AH26" s="235">
        <v>-5045</v>
      </c>
      <c r="AI26" s="235">
        <v>-1916</v>
      </c>
      <c r="AJ26" s="235">
        <v>-14292</v>
      </c>
      <c r="AK26" s="235">
        <v>-31667</v>
      </c>
      <c r="AM26" s="235"/>
      <c r="AN26" s="235">
        <f>Sovcombank!AE90</f>
        <v>-5778</v>
      </c>
      <c r="AO26" s="235">
        <v>-3453</v>
      </c>
      <c r="AP26" s="235">
        <v>-7631</v>
      </c>
      <c r="AQ26" s="235">
        <v>-4132</v>
      </c>
      <c r="AR26" s="235">
        <v>-22614</v>
      </c>
      <c r="AT26" s="235">
        <v>-2631</v>
      </c>
      <c r="AU26" s="235">
        <f>Sovcombank!AF90</f>
        <v>-7787</v>
      </c>
      <c r="AV26" s="235">
        <v>-4903</v>
      </c>
      <c r="AW26" s="235">
        <v>-9376</v>
      </c>
      <c r="AX26" s="235">
        <v>-7892</v>
      </c>
      <c r="AY26" s="235">
        <v>-35764</v>
      </c>
    </row>
    <row r="27" spans="2:51" x14ac:dyDescent="0.2">
      <c r="B27" s="234" t="s">
        <v>65</v>
      </c>
      <c r="C27" s="235"/>
      <c r="D27" s="235"/>
      <c r="E27" s="235"/>
      <c r="F27" s="235"/>
      <c r="G27" s="235"/>
      <c r="H27" s="235">
        <f>Sovcombank!AC92</f>
        <v>-381</v>
      </c>
      <c r="I27" s="235"/>
      <c r="J27" s="235"/>
      <c r="K27" s="235">
        <f t="shared" si="12"/>
        <v>-600</v>
      </c>
      <c r="L27" s="235">
        <f>Sovcombank!AG92</f>
        <v>-731</v>
      </c>
      <c r="M27" s="235">
        <f>AG27-L27</f>
        <v>-654</v>
      </c>
      <c r="N27" s="235">
        <f t="shared" si="13"/>
        <v>-621</v>
      </c>
      <c r="O27" s="235">
        <f t="shared" si="14"/>
        <v>-848</v>
      </c>
      <c r="P27" s="235">
        <f>Sovcombank!AK92</f>
        <v>-868</v>
      </c>
      <c r="Q27" s="235">
        <f>AH27-P27</f>
        <v>-776</v>
      </c>
      <c r="R27" s="235">
        <f t="shared" si="15"/>
        <v>-750</v>
      </c>
      <c r="S27" s="235">
        <f t="shared" ref="S27:S29" si="44">AW27-AP27</f>
        <v>-305</v>
      </c>
      <c r="T27" s="235">
        <v>-398</v>
      </c>
      <c r="U27" s="235">
        <f>AI27-T27</f>
        <v>-361</v>
      </c>
      <c r="V27" s="235">
        <f>AQ27-AI27</f>
        <v>-362</v>
      </c>
      <c r="W27" s="235">
        <f t="shared" ref="W27:W31" si="45">AX27-AQ27</f>
        <v>-451</v>
      </c>
      <c r="X27" s="235">
        <v>-455</v>
      </c>
      <c r="Y27" s="235">
        <f>AJ27-X27</f>
        <v>-844</v>
      </c>
      <c r="Z27" s="235">
        <f>AR27-AJ27</f>
        <v>-886</v>
      </c>
      <c r="AA27" s="235">
        <f>AY27-AR27</f>
        <v>-1852</v>
      </c>
      <c r="AB27" s="235">
        <v>-2354</v>
      </c>
      <c r="AC27" s="235">
        <f t="shared" si="43"/>
        <v>-2536</v>
      </c>
      <c r="AE27" s="235"/>
      <c r="AF27" s="235">
        <v>-871</v>
      </c>
      <c r="AG27" s="235">
        <v>-1385</v>
      </c>
      <c r="AH27" s="235">
        <v>-1644</v>
      </c>
      <c r="AI27" s="235">
        <v>-759</v>
      </c>
      <c r="AJ27" s="235">
        <v>-1299</v>
      </c>
      <c r="AK27" s="235">
        <v>-4890</v>
      </c>
      <c r="AM27" s="235"/>
      <c r="AN27" s="235">
        <f>Sovcombank!AE92</f>
        <v>-1525</v>
      </c>
      <c r="AO27" s="235">
        <v>-2006</v>
      </c>
      <c r="AP27" s="235">
        <v>-2394</v>
      </c>
      <c r="AQ27" s="235">
        <v>-1121</v>
      </c>
      <c r="AR27" s="235">
        <v>-2185</v>
      </c>
      <c r="AT27" s="235">
        <v>-1255</v>
      </c>
      <c r="AU27" s="235">
        <f>Sovcombank!AF92</f>
        <v>-2125</v>
      </c>
      <c r="AV27" s="235">
        <v>-2854</v>
      </c>
      <c r="AW27" s="235">
        <v>-2699</v>
      </c>
      <c r="AX27" s="235">
        <v>-1572</v>
      </c>
      <c r="AY27" s="235">
        <v>-4037</v>
      </c>
    </row>
    <row r="28" spans="2:51" x14ac:dyDescent="0.2">
      <c r="B28" s="234" t="s">
        <v>490</v>
      </c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>
        <v>-545</v>
      </c>
      <c r="AC28" s="235">
        <f t="shared" si="43"/>
        <v>-193</v>
      </c>
      <c r="AE28" s="235"/>
      <c r="AF28" s="235"/>
      <c r="AG28" s="235"/>
      <c r="AH28" s="235"/>
      <c r="AI28" s="235"/>
      <c r="AJ28" s="235"/>
      <c r="AK28" s="235">
        <v>-738</v>
      </c>
      <c r="AM28" s="235"/>
      <c r="AN28" s="235"/>
      <c r="AO28" s="235"/>
      <c r="AP28" s="235"/>
      <c r="AQ28" s="235"/>
      <c r="AR28" s="235"/>
      <c r="AT28" s="235"/>
      <c r="AU28" s="235"/>
      <c r="AV28" s="235"/>
      <c r="AW28" s="235"/>
      <c r="AX28" s="235"/>
      <c r="AY28" s="235"/>
    </row>
    <row r="29" spans="2:51" x14ac:dyDescent="0.2">
      <c r="B29" s="234" t="s">
        <v>66</v>
      </c>
      <c r="C29" s="235"/>
      <c r="D29" s="235"/>
      <c r="E29" s="235"/>
      <c r="F29" s="235"/>
      <c r="G29" s="235"/>
      <c r="H29" s="235">
        <f>Sovcombank!AC91</f>
        <v>-686</v>
      </c>
      <c r="I29" s="235"/>
      <c r="J29" s="235"/>
      <c r="K29" s="235">
        <f t="shared" si="12"/>
        <v>-760</v>
      </c>
      <c r="L29" s="235">
        <f>Sovcombank!AG91</f>
        <v>-1174</v>
      </c>
      <c r="M29" s="235">
        <f>AG29-L29</f>
        <v>-765</v>
      </c>
      <c r="N29" s="235">
        <f t="shared" si="13"/>
        <v>-851</v>
      </c>
      <c r="O29" s="235">
        <f t="shared" si="14"/>
        <v>-944</v>
      </c>
      <c r="P29" s="235">
        <f>Sovcombank!AK91</f>
        <v>-981</v>
      </c>
      <c r="Q29" s="235">
        <f>AH29-P29</f>
        <v>-1074</v>
      </c>
      <c r="R29" s="235">
        <f t="shared" si="15"/>
        <v>-996</v>
      </c>
      <c r="S29" s="235">
        <f t="shared" si="44"/>
        <v>-1005</v>
      </c>
      <c r="T29" s="235">
        <v>-949</v>
      </c>
      <c r="U29" s="235">
        <f>AI29-T29</f>
        <v>-1001</v>
      </c>
      <c r="V29" s="235">
        <f>AQ29-AI29</f>
        <v>-1065</v>
      </c>
      <c r="W29" s="235">
        <f t="shared" si="45"/>
        <v>-1248</v>
      </c>
      <c r="X29" s="235">
        <v>-1115</v>
      </c>
      <c r="Y29" s="235">
        <f>AJ29-X29</f>
        <v>-1367</v>
      </c>
      <c r="Z29" s="235">
        <f>AR29-AJ29</f>
        <v>-1453</v>
      </c>
      <c r="AA29" s="235">
        <f>AY29-AR29</f>
        <v>-1621</v>
      </c>
      <c r="AB29" s="235">
        <v>-1611</v>
      </c>
      <c r="AC29" s="235">
        <f t="shared" si="43"/>
        <v>-1347</v>
      </c>
      <c r="AE29" s="235"/>
      <c r="AF29" s="235">
        <v>-1392</v>
      </c>
      <c r="AG29" s="235">
        <v>-1939</v>
      </c>
      <c r="AH29" s="235">
        <v>-2055</v>
      </c>
      <c r="AI29" s="235">
        <v>-1950</v>
      </c>
      <c r="AJ29" s="235">
        <v>-2482</v>
      </c>
      <c r="AK29" s="235">
        <v>-2958</v>
      </c>
      <c r="AM29" s="235"/>
      <c r="AN29" s="235">
        <f>Sovcombank!AE91</f>
        <v>-2127</v>
      </c>
      <c r="AO29" s="235">
        <v>-2790</v>
      </c>
      <c r="AP29" s="235">
        <v>-3051</v>
      </c>
      <c r="AQ29" s="235">
        <v>-3015</v>
      </c>
      <c r="AR29" s="235">
        <v>-3935</v>
      </c>
      <c r="AT29" s="235">
        <v>-2510</v>
      </c>
      <c r="AU29" s="235">
        <f>Sovcombank!AF91</f>
        <v>-2887</v>
      </c>
      <c r="AV29" s="235">
        <v>-3734</v>
      </c>
      <c r="AW29" s="235">
        <v>-4056</v>
      </c>
      <c r="AX29" s="235">
        <v>-4263</v>
      </c>
      <c r="AY29" s="235">
        <v>-5556</v>
      </c>
    </row>
    <row r="30" spans="2:51" x14ac:dyDescent="0.2">
      <c r="B30" s="234" t="s">
        <v>67</v>
      </c>
      <c r="C30" s="235"/>
      <c r="D30" s="235"/>
      <c r="E30" s="235"/>
      <c r="F30" s="235"/>
      <c r="G30" s="235"/>
      <c r="H30" s="235">
        <f>Sovcombank!AC93</f>
        <v>-594</v>
      </c>
      <c r="I30" s="235"/>
      <c r="J30" s="235"/>
      <c r="K30" s="235">
        <f t="shared" si="12"/>
        <v>-619</v>
      </c>
      <c r="L30" s="235">
        <f>Sovcombank!AG93</f>
        <v>-532</v>
      </c>
      <c r="M30" s="235">
        <f>AG30-L30</f>
        <v>-547</v>
      </c>
      <c r="N30" s="235">
        <f t="shared" si="13"/>
        <v>-571</v>
      </c>
      <c r="O30" s="235">
        <f t="shared" si="14"/>
        <v>-618</v>
      </c>
      <c r="P30" s="235">
        <f>Sovcombank!AK93</f>
        <v>-582</v>
      </c>
      <c r="Q30" s="235">
        <f>AH30-P30</f>
        <v>-558</v>
      </c>
      <c r="R30" s="235">
        <f t="shared" si="15"/>
        <v>-590</v>
      </c>
      <c r="S30" s="235">
        <f>AW30-AP30</f>
        <v>-687</v>
      </c>
      <c r="T30" s="235">
        <v>-707</v>
      </c>
      <c r="U30" s="235">
        <f>AI30-T30</f>
        <v>-723</v>
      </c>
      <c r="V30" s="235">
        <f>AQ30-AI30</f>
        <v>-807</v>
      </c>
      <c r="W30" s="235">
        <f t="shared" si="45"/>
        <v>-445</v>
      </c>
      <c r="X30" s="235">
        <v>-502</v>
      </c>
      <c r="Y30" s="235">
        <f>AJ30-X30</f>
        <v>-542</v>
      </c>
      <c r="Z30" s="235">
        <f>AR30-AJ30</f>
        <v>-587</v>
      </c>
      <c r="AA30" s="235">
        <f>AY30-AR30</f>
        <v>-605</v>
      </c>
      <c r="AB30" s="235">
        <v>-555</v>
      </c>
      <c r="AC30" s="235">
        <f t="shared" si="43"/>
        <v>-1088</v>
      </c>
      <c r="AE30" s="235"/>
      <c r="AF30" s="235">
        <v>-1253</v>
      </c>
      <c r="AG30" s="235">
        <v>-1079</v>
      </c>
      <c r="AH30" s="235">
        <v>-1140</v>
      </c>
      <c r="AI30" s="235">
        <v>-1430</v>
      </c>
      <c r="AJ30" s="235">
        <v>-1044</v>
      </c>
      <c r="AK30" s="235">
        <v>-1643</v>
      </c>
      <c r="AM30" s="235"/>
      <c r="AN30" s="235">
        <f>Sovcombank!AE93</f>
        <v>-1884</v>
      </c>
      <c r="AO30" s="235">
        <v>-1650</v>
      </c>
      <c r="AP30" s="235">
        <v>-1730</v>
      </c>
      <c r="AQ30" s="235">
        <v>-2237</v>
      </c>
      <c r="AR30" s="235">
        <v>-1631</v>
      </c>
      <c r="AT30" s="235">
        <v>-1180</v>
      </c>
      <c r="AU30" s="235">
        <f>Sovcombank!AF93</f>
        <v>-2503</v>
      </c>
      <c r="AV30" s="235">
        <v>-2268</v>
      </c>
      <c r="AW30" s="235">
        <v>-2417</v>
      </c>
      <c r="AX30" s="235">
        <v>-2682</v>
      </c>
      <c r="AY30" s="235">
        <v>-2236</v>
      </c>
    </row>
    <row r="31" spans="2:51" x14ac:dyDescent="0.2">
      <c r="B31" s="234" t="s">
        <v>444</v>
      </c>
      <c r="C31" s="235"/>
      <c r="D31" s="235"/>
      <c r="E31" s="235"/>
      <c r="F31" s="235"/>
      <c r="G31" s="235"/>
      <c r="H31" s="235">
        <v>-122</v>
      </c>
      <c r="I31" s="235"/>
      <c r="J31" s="235"/>
      <c r="K31" s="235">
        <f t="shared" si="12"/>
        <v>-82</v>
      </c>
      <c r="L31" s="235">
        <v>-95</v>
      </c>
      <c r="M31" s="235">
        <f>AG31-L31</f>
        <v>-155</v>
      </c>
      <c r="N31" s="235">
        <f>AO31-AG31</f>
        <v>-128</v>
      </c>
      <c r="O31" s="235">
        <f>AV31-AO31</f>
        <v>-134</v>
      </c>
      <c r="P31" s="235">
        <v>-156</v>
      </c>
      <c r="Q31" s="235">
        <f>AH31-P31</f>
        <v>-167</v>
      </c>
      <c r="R31" s="235">
        <f>AP31-AH31</f>
        <v>-155</v>
      </c>
      <c r="S31" s="235">
        <f>AW31-AP31</f>
        <v>-185</v>
      </c>
      <c r="T31" s="235">
        <v>-167</v>
      </c>
      <c r="U31" s="235">
        <f>AI31-T31</f>
        <v>-174</v>
      </c>
      <c r="V31" s="235">
        <f>AQ31-AI31</f>
        <v>-195</v>
      </c>
      <c r="W31" s="235">
        <f t="shared" si="45"/>
        <v>-227</v>
      </c>
      <c r="X31" s="235">
        <v>-260</v>
      </c>
      <c r="Y31" s="235">
        <f>AJ31-X31</f>
        <v>-307</v>
      </c>
      <c r="Z31" s="235">
        <f>AR31-AJ31</f>
        <v>-376</v>
      </c>
      <c r="AA31" s="235">
        <f>AY31-AR31</f>
        <v>-434</v>
      </c>
      <c r="AB31" s="235">
        <v>-497</v>
      </c>
      <c r="AC31" s="235">
        <f t="shared" si="43"/>
        <v>-534</v>
      </c>
      <c r="AE31" s="235"/>
      <c r="AF31" s="235"/>
      <c r="AG31" s="235">
        <v>-250</v>
      </c>
      <c r="AH31" s="235">
        <v>-323</v>
      </c>
      <c r="AI31" s="235">
        <v>-341</v>
      </c>
      <c r="AJ31" s="235">
        <v>-567</v>
      </c>
      <c r="AK31" s="235">
        <v>-1031</v>
      </c>
      <c r="AM31" s="235"/>
      <c r="AN31" s="235">
        <v>-340</v>
      </c>
      <c r="AO31" s="235">
        <v>-378</v>
      </c>
      <c r="AP31" s="235">
        <v>-478</v>
      </c>
      <c r="AQ31" s="235">
        <v>-536</v>
      </c>
      <c r="AR31" s="235">
        <v>-943</v>
      </c>
      <c r="AT31" s="235">
        <v>-553</v>
      </c>
      <c r="AU31" s="235">
        <v>-422</v>
      </c>
      <c r="AV31" s="235">
        <v>-512</v>
      </c>
      <c r="AW31" s="235">
        <v>-663</v>
      </c>
      <c r="AX31" s="235">
        <v>-763</v>
      </c>
      <c r="AY31" s="235">
        <v>-1377</v>
      </c>
    </row>
    <row r="32" spans="2:51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E32" s="181"/>
      <c r="AF32" s="181"/>
      <c r="AG32" s="181"/>
      <c r="AH32" s="181"/>
      <c r="AI32" s="181"/>
      <c r="AJ32" s="181"/>
      <c r="AK32" s="181"/>
      <c r="AM32" s="181"/>
      <c r="AN32" s="181"/>
      <c r="AO32" s="181"/>
      <c r="AP32" s="181"/>
      <c r="AQ32" s="181"/>
      <c r="AR32" s="181"/>
      <c r="AT32" s="181"/>
      <c r="AU32" s="181"/>
      <c r="AV32" s="181"/>
      <c r="AW32" s="181"/>
      <c r="AX32" s="181"/>
      <c r="AY32" s="181"/>
    </row>
    <row r="33" spans="2:51" x14ac:dyDescent="0.2">
      <c r="B33" s="176" t="s">
        <v>83</v>
      </c>
      <c r="C33" s="179">
        <f>Sovcombank!X70</f>
        <v>828977</v>
      </c>
      <c r="D33" s="179">
        <f>Sovcombank!Y70</f>
        <v>808781</v>
      </c>
      <c r="E33" s="179">
        <f>Sovcombank!Z70</f>
        <v>825110</v>
      </c>
      <c r="F33" s="179">
        <f>Sovcombank!AA70</f>
        <v>844697</v>
      </c>
      <c r="G33" s="179">
        <f>Sovcombank!AB70</f>
        <v>969293</v>
      </c>
      <c r="H33" s="179">
        <f>Sovcombank!AC70</f>
        <v>1145709</v>
      </c>
      <c r="I33" s="179">
        <f>Sovcombank!AD70</f>
        <v>1305397</v>
      </c>
      <c r="J33" s="179">
        <f>Sovcombank!AE70</f>
        <v>1342222</v>
      </c>
      <c r="K33" s="179">
        <f>Sovcombank!AF70</f>
        <v>1248161</v>
      </c>
      <c r="L33" s="179">
        <f>Sovcombank!AG70</f>
        <v>1354671</v>
      </c>
      <c r="M33" s="179">
        <f>Sovcombank!AH70</f>
        <v>1568472</v>
      </c>
      <c r="N33" s="179">
        <f>Sovcombank!AI70</f>
        <v>1592660</v>
      </c>
      <c r="O33" s="179">
        <f>Sovcombank!AJ70</f>
        <v>1783515</v>
      </c>
      <c r="P33" s="179">
        <f>Sovcombank!AK70</f>
        <v>1620675</v>
      </c>
      <c r="Q33" s="179">
        <f>Sovcombank!AL70</f>
        <v>1592411</v>
      </c>
      <c r="R33" s="179">
        <f>Sovcombank!AM70</f>
        <v>1712414</v>
      </c>
      <c r="S33" s="179">
        <f>Sovcombank!AN70</f>
        <v>1890486</v>
      </c>
      <c r="T33" s="179">
        <f>Sovcombank!AO70</f>
        <v>1947044</v>
      </c>
      <c r="U33" s="179">
        <f>Sovcombank!AP70</f>
        <v>2007439</v>
      </c>
      <c r="V33" s="179">
        <f>Sovcombank!AQ70</f>
        <v>2376946</v>
      </c>
      <c r="W33" s="179">
        <f>Sovcombank!AR70</f>
        <v>2737934</v>
      </c>
      <c r="X33" s="179">
        <f>Sovcombank!AS70</f>
        <v>3072522</v>
      </c>
      <c r="Y33" s="179">
        <f>Sovcombank!AT70</f>
        <v>3234460</v>
      </c>
      <c r="Z33" s="179">
        <f>Sovcombank!AU70</f>
        <v>3249444</v>
      </c>
      <c r="AA33" s="179">
        <f>Sovcombank!AV70</f>
        <v>3473683</v>
      </c>
      <c r="AB33" s="179">
        <f>Sovcombank!AW70</f>
        <v>3291150</v>
      </c>
      <c r="AC33" s="179">
        <f>Sovcombank!AX70</f>
        <v>3325939</v>
      </c>
      <c r="AE33" s="179">
        <f>Sovcombank!Z70</f>
        <v>825110</v>
      </c>
      <c r="AF33" s="179">
        <f>Sovcombank!AD70</f>
        <v>1305397</v>
      </c>
      <c r="AG33" s="179">
        <f>M33</f>
        <v>1568472</v>
      </c>
      <c r="AH33" s="179"/>
      <c r="AI33" s="179"/>
      <c r="AJ33" s="179"/>
      <c r="AK33" s="179"/>
      <c r="AM33" s="179"/>
      <c r="AN33" s="179"/>
      <c r="AO33" s="179"/>
      <c r="AP33" s="179"/>
      <c r="AQ33" s="179"/>
      <c r="AR33" s="179"/>
      <c r="AT33" s="179"/>
      <c r="AU33" s="179"/>
      <c r="AV33" s="179"/>
      <c r="AW33" s="179"/>
      <c r="AX33" s="179"/>
      <c r="AY33" s="179"/>
    </row>
    <row r="34" spans="2:51" x14ac:dyDescent="0.2">
      <c r="B34" s="181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E34" s="182"/>
      <c r="AF34" s="182"/>
      <c r="AG34" s="182"/>
      <c r="AH34" s="182"/>
      <c r="AI34" s="182"/>
      <c r="AJ34" s="182"/>
      <c r="AK34" s="182"/>
      <c r="AM34" s="182"/>
      <c r="AN34" s="182"/>
      <c r="AO34" s="182"/>
      <c r="AP34" s="182"/>
      <c r="AQ34" s="182"/>
      <c r="AR34" s="182"/>
      <c r="AT34" s="182"/>
      <c r="AU34" s="182"/>
      <c r="AV34" s="182"/>
      <c r="AW34" s="182"/>
      <c r="AX34" s="182"/>
      <c r="AY34" s="182"/>
    </row>
    <row r="35" spans="2:51" x14ac:dyDescent="0.2">
      <c r="B35" s="181" t="s">
        <v>343</v>
      </c>
      <c r="C35" s="185">
        <f>Sovcombank!X37</f>
        <v>859</v>
      </c>
      <c r="D35" s="185">
        <f>Sovcombank!Y37</f>
        <v>840</v>
      </c>
      <c r="E35" s="185">
        <f>Sovcombank!Z37</f>
        <v>819</v>
      </c>
      <c r="F35" s="185">
        <f>Sovcombank!AA37</f>
        <v>835</v>
      </c>
      <c r="G35" s="185">
        <f>Sovcombank!AB37</f>
        <v>785</v>
      </c>
      <c r="H35" s="185">
        <f>Sovcombank!AC37</f>
        <v>20737</v>
      </c>
      <c r="I35" s="185">
        <f>Sovcombank!AD37</f>
        <v>769</v>
      </c>
      <c r="J35" s="185">
        <f>Sovcombank!AE37</f>
        <v>2173</v>
      </c>
      <c r="K35" s="185">
        <f>Sovcombank!AF37</f>
        <v>1802</v>
      </c>
      <c r="L35" s="185">
        <f>Sovcombank!AG37</f>
        <v>38142</v>
      </c>
      <c r="M35" s="185">
        <f>Sovcombank!AH37</f>
        <v>2535</v>
      </c>
      <c r="N35" s="185">
        <f>Sovcombank!AI37</f>
        <v>11835</v>
      </c>
      <c r="O35" s="185">
        <f>Sovcombank!AJ37</f>
        <v>4158</v>
      </c>
      <c r="P35" s="185">
        <f>Sovcombank!AK37</f>
        <v>10326</v>
      </c>
      <c r="Q35" s="185">
        <f>Sovcombank!AL37</f>
        <v>21174</v>
      </c>
      <c r="R35" s="185">
        <f>Sovcombank!AM37</f>
        <v>19124</v>
      </c>
      <c r="S35" s="185">
        <f>Sovcombank!AN37</f>
        <v>18987</v>
      </c>
      <c r="T35" s="185">
        <f>Sovcombank!AO37</f>
        <v>12127</v>
      </c>
      <c r="U35" s="185">
        <f>Sovcombank!AP37</f>
        <v>14787</v>
      </c>
      <c r="V35" s="185">
        <f>Sovcombank!AQ37</f>
        <v>11537</v>
      </c>
      <c r="W35" s="185">
        <f>Sovcombank!AR37</f>
        <v>21524</v>
      </c>
      <c r="X35" s="185">
        <f>Sovcombank!AS37</f>
        <v>69967</v>
      </c>
      <c r="Y35" s="185">
        <f>Sovcombank!AT37</f>
        <v>74499</v>
      </c>
      <c r="Z35" s="185">
        <f>Sovcombank!AU37</f>
        <v>153441</v>
      </c>
      <c r="AA35" s="185">
        <f>Sovcombank!AV37</f>
        <v>84904</v>
      </c>
      <c r="AB35" s="185">
        <f>Sovcombank!AW37</f>
        <v>16425</v>
      </c>
      <c r="AC35" s="185">
        <f>Sovcombank!AX37</f>
        <v>16858</v>
      </c>
      <c r="AE35" s="185"/>
      <c r="AF35" s="185"/>
      <c r="AG35" s="185"/>
      <c r="AH35" s="186"/>
      <c r="AI35" s="186"/>
      <c r="AJ35" s="186"/>
      <c r="AK35" s="186"/>
      <c r="AL35" s="178"/>
      <c r="AM35" s="186"/>
      <c r="AN35" s="186"/>
      <c r="AO35" s="186"/>
      <c r="AP35" s="186"/>
      <c r="AQ35" s="186"/>
      <c r="AR35" s="186"/>
      <c r="AS35" s="178"/>
      <c r="AT35" s="186"/>
      <c r="AU35" s="186"/>
      <c r="AV35" s="186"/>
      <c r="AW35" s="186"/>
      <c r="AX35" s="186"/>
      <c r="AY35" s="186"/>
    </row>
    <row r="36" spans="2:51" x14ac:dyDescent="0.2">
      <c r="B36" s="181" t="s">
        <v>63</v>
      </c>
      <c r="C36" s="185">
        <f>Sovcombank!X68</f>
        <v>189848</v>
      </c>
      <c r="D36" s="185">
        <f>Sovcombank!Y68</f>
        <v>124564</v>
      </c>
      <c r="E36" s="185">
        <f>Sovcombank!Z68</f>
        <v>110141</v>
      </c>
      <c r="F36" s="185">
        <f>Sovcombank!AA68</f>
        <v>78494</v>
      </c>
      <c r="G36" s="185">
        <f>Sovcombank!AB68</f>
        <v>124657</v>
      </c>
      <c r="H36" s="185">
        <f>Sovcombank!AC68</f>
        <v>241550</v>
      </c>
      <c r="I36" s="185">
        <f>Sovcombank!AD68</f>
        <v>366728</v>
      </c>
      <c r="J36" s="185">
        <f>Sovcombank!AE68</f>
        <v>376146</v>
      </c>
      <c r="K36" s="185">
        <f>Sovcombank!AF68</f>
        <v>154222</v>
      </c>
      <c r="L36" s="185">
        <f>Sovcombank!AG68</f>
        <v>90177</v>
      </c>
      <c r="M36" s="185">
        <f>Sovcombank!AH68</f>
        <v>198571</v>
      </c>
      <c r="N36" s="185">
        <f>Sovcombank!AI68</f>
        <v>208797</v>
      </c>
      <c r="O36" s="185">
        <f>Sovcombank!AJ68</f>
        <v>247591</v>
      </c>
      <c r="P36" s="185">
        <f>Sovcombank!AK68</f>
        <v>79586</v>
      </c>
      <c r="Q36" s="185">
        <f>Sovcombank!AL68</f>
        <v>124791</v>
      </c>
      <c r="R36" s="185">
        <f>Sovcombank!AM68</f>
        <v>179795</v>
      </c>
      <c r="S36" s="185">
        <f>Sovcombank!AN68</f>
        <v>93834</v>
      </c>
      <c r="T36" s="185">
        <f>Sovcombank!AO68</f>
        <v>33876</v>
      </c>
      <c r="U36" s="185">
        <f>Sovcombank!AP68</f>
        <v>38274</v>
      </c>
      <c r="V36" s="185">
        <f>Sovcombank!AQ68</f>
        <v>88052</v>
      </c>
      <c r="W36" s="185">
        <f>Sovcombank!AR68</f>
        <v>135633</v>
      </c>
      <c r="X36" s="185">
        <f>Sovcombank!AS68</f>
        <v>185558</v>
      </c>
      <c r="Y36" s="185">
        <f>Sovcombank!AT68</f>
        <v>219424</v>
      </c>
      <c r="Z36" s="185">
        <f>Sovcombank!AU68</f>
        <v>201422</v>
      </c>
      <c r="AA36" s="185">
        <f>Sovcombank!AV68</f>
        <v>221257</v>
      </c>
      <c r="AB36" s="185">
        <f>Sovcombank!AW68</f>
        <v>327026</v>
      </c>
      <c r="AC36" s="185">
        <f>Sovcombank!AX68</f>
        <v>261713</v>
      </c>
      <c r="AE36" s="185"/>
      <c r="AF36" s="185"/>
      <c r="AG36" s="185"/>
      <c r="AH36" s="186"/>
      <c r="AI36" s="186"/>
      <c r="AJ36" s="186"/>
      <c r="AK36" s="186"/>
      <c r="AL36" s="178"/>
      <c r="AM36" s="186"/>
      <c r="AN36" s="186"/>
      <c r="AO36" s="186"/>
      <c r="AP36" s="186"/>
      <c r="AQ36" s="186"/>
      <c r="AR36" s="186"/>
      <c r="AS36" s="178"/>
      <c r="AT36" s="186"/>
      <c r="AU36" s="186"/>
      <c r="AV36" s="186"/>
      <c r="AW36" s="186"/>
      <c r="AX36" s="186"/>
      <c r="AY36" s="186"/>
    </row>
    <row r="37" spans="2:51" x14ac:dyDescent="0.2">
      <c r="B37" s="181" t="s">
        <v>344</v>
      </c>
      <c r="C37" s="185">
        <f>Sovcombank!X238</f>
        <v>402903</v>
      </c>
      <c r="D37" s="185">
        <f>Sovcombank!Y238</f>
        <v>391108</v>
      </c>
      <c r="E37" s="185">
        <f>Sovcombank!Z238</f>
        <v>403339</v>
      </c>
      <c r="F37" s="185">
        <f>Sovcombank!AA238</f>
        <v>425408</v>
      </c>
      <c r="G37" s="185">
        <f>Sovcombank!AB238</f>
        <v>452003</v>
      </c>
      <c r="H37" s="185">
        <f>Sovcombank!AC238</f>
        <v>450951</v>
      </c>
      <c r="I37" s="185">
        <f>Sovcombank!AD238</f>
        <v>457455</v>
      </c>
      <c r="J37" s="185">
        <f>Sovcombank!AE238</f>
        <v>459062</v>
      </c>
      <c r="K37" s="185">
        <f>Sovcombank!AF238</f>
        <v>472656</v>
      </c>
      <c r="L37" s="185">
        <f>Sovcombank!AG238</f>
        <v>487062</v>
      </c>
      <c r="M37" s="185">
        <f>Sovcombank!AH238</f>
        <v>609410</v>
      </c>
      <c r="N37" s="185">
        <f>Sovcombank!AI238</f>
        <v>598958</v>
      </c>
      <c r="O37" s="185">
        <f>Sovcombank!AJ238</f>
        <v>602002</v>
      </c>
      <c r="P37" s="185">
        <f>Sovcombank!AK238</f>
        <v>654946</v>
      </c>
      <c r="Q37" s="185">
        <f>Sovcombank!AL238</f>
        <v>671278</v>
      </c>
      <c r="R37" s="185">
        <f>Sovcombank!AM238</f>
        <v>692410</v>
      </c>
      <c r="S37" s="185">
        <f>Sovcombank!AN238</f>
        <v>721422</v>
      </c>
      <c r="T37" s="185">
        <f>Sovcombank!AO238</f>
        <v>748851</v>
      </c>
      <c r="U37" s="185">
        <f>Sovcombank!AP238</f>
        <v>774096</v>
      </c>
      <c r="V37" s="185">
        <f>Sovcombank!AQ238</f>
        <v>800037</v>
      </c>
      <c r="W37" s="185">
        <f>Sovcombank!AR238</f>
        <v>833157</v>
      </c>
      <c r="X37" s="185">
        <f>Sovcombank!AS238</f>
        <v>1005114</v>
      </c>
      <c r="Y37" s="185">
        <f>Sovcombank!AT238</f>
        <v>1023199</v>
      </c>
      <c r="Z37" s="185">
        <f>Sovcombank!AU238</f>
        <v>1063942</v>
      </c>
      <c r="AA37" s="185">
        <f>Sovcombank!AV238</f>
        <v>1187550</v>
      </c>
      <c r="AB37" s="185">
        <f>Sovcombank!AW238</f>
        <v>1230665</v>
      </c>
      <c r="AC37" s="185">
        <f>Sovcombank!AX238</f>
        <v>1283838</v>
      </c>
      <c r="AE37" s="185"/>
      <c r="AF37" s="185"/>
      <c r="AG37" s="185"/>
      <c r="AH37" s="186"/>
      <c r="AI37" s="186"/>
      <c r="AJ37" s="186"/>
      <c r="AK37" s="186"/>
      <c r="AL37" s="178"/>
      <c r="AM37" s="186"/>
      <c r="AN37" s="186"/>
      <c r="AO37" s="186"/>
      <c r="AP37" s="186"/>
      <c r="AQ37" s="186"/>
      <c r="AR37" s="186"/>
      <c r="AS37" s="178"/>
      <c r="AT37" s="186"/>
      <c r="AU37" s="186"/>
      <c r="AV37" s="186"/>
      <c r="AW37" s="186"/>
      <c r="AX37" s="186"/>
      <c r="AY37" s="186"/>
    </row>
    <row r="38" spans="2:51" x14ac:dyDescent="0.2">
      <c r="B38" s="234" t="s">
        <v>121</v>
      </c>
      <c r="C38" s="235">
        <f>Sovcombank!X235</f>
        <v>361108</v>
      </c>
      <c r="D38" s="235">
        <f>Sovcombank!Y235</f>
        <v>352793</v>
      </c>
      <c r="E38" s="235">
        <f>Sovcombank!Z235</f>
        <v>363475</v>
      </c>
      <c r="F38" s="235">
        <f>Sovcombank!AA235</f>
        <v>380535</v>
      </c>
      <c r="G38" s="235">
        <f>Sovcombank!AB235</f>
        <v>399209</v>
      </c>
      <c r="H38" s="235">
        <f>Sovcombank!AC235</f>
        <v>398826</v>
      </c>
      <c r="I38" s="235">
        <f>Sovcombank!AD235</f>
        <v>399408</v>
      </c>
      <c r="J38" s="235">
        <f>Sovcombank!AE235</f>
        <v>393802</v>
      </c>
      <c r="K38" s="235">
        <f>Sovcombank!AF235</f>
        <v>392154</v>
      </c>
      <c r="L38" s="235">
        <f>Sovcombank!AG235</f>
        <v>405951</v>
      </c>
      <c r="M38" s="235">
        <f>Sovcombank!AH235</f>
        <v>476970</v>
      </c>
      <c r="N38" s="235">
        <f>Sovcombank!AI235</f>
        <v>466968</v>
      </c>
      <c r="O38" s="235">
        <f>Sovcombank!AJ235</f>
        <v>461707</v>
      </c>
      <c r="P38" s="235">
        <f>Sovcombank!AK235</f>
        <v>554049</v>
      </c>
      <c r="Q38" s="235">
        <f>Sovcombank!AL235</f>
        <v>553333</v>
      </c>
      <c r="R38" s="235">
        <f>Sovcombank!AM235</f>
        <v>563883</v>
      </c>
      <c r="S38" s="235">
        <f>Sovcombank!AN235</f>
        <v>572645</v>
      </c>
      <c r="T38" s="235">
        <f>Sovcombank!AO235</f>
        <v>589729</v>
      </c>
      <c r="U38" s="235">
        <f>Sovcombank!AP235</f>
        <v>594022</v>
      </c>
      <c r="V38" s="235">
        <f>Sovcombank!AQ235</f>
        <v>619702</v>
      </c>
      <c r="W38" s="235">
        <f>Sovcombank!AR235</f>
        <v>653020</v>
      </c>
      <c r="X38" s="235">
        <f>Sovcombank!AS235</f>
        <v>804540</v>
      </c>
      <c r="Y38" s="235">
        <f>Sovcombank!AT235</f>
        <v>802794</v>
      </c>
      <c r="Z38" s="235">
        <f>Sovcombank!AU235</f>
        <v>852588</v>
      </c>
      <c r="AA38" s="235">
        <f>Sovcombank!AV235</f>
        <v>943549</v>
      </c>
      <c r="AB38" s="235">
        <f>Sovcombank!AW235</f>
        <v>1024083</v>
      </c>
      <c r="AC38" s="235">
        <f>Sovcombank!AX235</f>
        <v>1024030</v>
      </c>
      <c r="AE38" s="271"/>
      <c r="AF38" s="271"/>
      <c r="AG38" s="271"/>
      <c r="AH38" s="271"/>
      <c r="AI38" s="271"/>
      <c r="AJ38" s="271"/>
      <c r="AK38" s="271"/>
      <c r="AL38" s="178"/>
      <c r="AM38" s="271"/>
      <c r="AN38" s="271"/>
      <c r="AO38" s="271"/>
      <c r="AP38" s="271"/>
      <c r="AQ38" s="271"/>
      <c r="AR38" s="271"/>
      <c r="AS38" s="178"/>
      <c r="AT38" s="271"/>
      <c r="AU38" s="271"/>
      <c r="AV38" s="271"/>
      <c r="AW38" s="271"/>
      <c r="AX38" s="271"/>
      <c r="AY38" s="271"/>
    </row>
    <row r="39" spans="2:51" x14ac:dyDescent="0.2">
      <c r="B39" s="234" t="s">
        <v>379</v>
      </c>
      <c r="C39" s="235">
        <f>Sovcombank!X236</f>
        <v>41795</v>
      </c>
      <c r="D39" s="235">
        <f>Sovcombank!Y236</f>
        <v>38315</v>
      </c>
      <c r="E39" s="235">
        <f>Sovcombank!Z236</f>
        <v>39864</v>
      </c>
      <c r="F39" s="235">
        <f>Sovcombank!AA236</f>
        <v>44873</v>
      </c>
      <c r="G39" s="235">
        <f>Sovcombank!AB236</f>
        <v>52794</v>
      </c>
      <c r="H39" s="235">
        <f>Sovcombank!AC236</f>
        <v>52125</v>
      </c>
      <c r="I39" s="235">
        <f>Sovcombank!AD236</f>
        <v>58047</v>
      </c>
      <c r="J39" s="235">
        <f>Sovcombank!AE236</f>
        <v>65260</v>
      </c>
      <c r="K39" s="235">
        <f>Sovcombank!AF236</f>
        <v>80502</v>
      </c>
      <c r="L39" s="235">
        <f>Sovcombank!AG236</f>
        <v>81111</v>
      </c>
      <c r="M39" s="235">
        <f>Sovcombank!AH236</f>
        <v>132440</v>
      </c>
      <c r="N39" s="235">
        <f>Sovcombank!AI236</f>
        <v>131990</v>
      </c>
      <c r="O39" s="235">
        <f>Sovcombank!AJ236</f>
        <v>140295</v>
      </c>
      <c r="P39" s="235">
        <f>Sovcombank!AK236</f>
        <v>100897</v>
      </c>
      <c r="Q39" s="235">
        <f>Sovcombank!AL236</f>
        <v>117945</v>
      </c>
      <c r="R39" s="235">
        <f>Sovcombank!AM236</f>
        <v>128527</v>
      </c>
      <c r="S39" s="235">
        <f>Sovcombank!AN236</f>
        <v>148777</v>
      </c>
      <c r="T39" s="235">
        <f>Sovcombank!AO236</f>
        <v>159122</v>
      </c>
      <c r="U39" s="235">
        <f>Sovcombank!AP236</f>
        <v>180074</v>
      </c>
      <c r="V39" s="235">
        <f>Sovcombank!AQ236</f>
        <v>180335</v>
      </c>
      <c r="W39" s="235">
        <f>Sovcombank!AR236</f>
        <v>180137</v>
      </c>
      <c r="X39" s="235">
        <f>Sovcombank!AS236</f>
        <v>200574</v>
      </c>
      <c r="Y39" s="235">
        <f>Sovcombank!AT236</f>
        <v>220405</v>
      </c>
      <c r="Z39" s="235">
        <f>Sovcombank!AU236</f>
        <v>211354</v>
      </c>
      <c r="AA39" s="235">
        <f>Sovcombank!AV236</f>
        <v>244001</v>
      </c>
      <c r="AB39" s="235">
        <f>Sovcombank!AW236</f>
        <v>206582</v>
      </c>
      <c r="AC39" s="235">
        <f>Sovcombank!AX236</f>
        <v>259808</v>
      </c>
      <c r="AE39" s="271"/>
      <c r="AF39" s="271"/>
      <c r="AG39" s="271"/>
      <c r="AH39" s="271"/>
      <c r="AI39" s="271"/>
      <c r="AJ39" s="271"/>
      <c r="AK39" s="271"/>
      <c r="AL39" s="178"/>
      <c r="AM39" s="271"/>
      <c r="AN39" s="271"/>
      <c r="AO39" s="271"/>
      <c r="AP39" s="271"/>
      <c r="AQ39" s="271"/>
      <c r="AR39" s="271"/>
      <c r="AS39" s="178"/>
      <c r="AT39" s="271"/>
      <c r="AU39" s="271"/>
      <c r="AV39" s="271"/>
      <c r="AW39" s="271"/>
      <c r="AX39" s="271"/>
      <c r="AY39" s="271"/>
    </row>
    <row r="40" spans="2:51" x14ac:dyDescent="0.2">
      <c r="B40" s="181" t="s">
        <v>345</v>
      </c>
      <c r="C40" s="185">
        <f>Sovcombank!X243</f>
        <v>195971</v>
      </c>
      <c r="D40" s="185">
        <f>Sovcombank!Y243</f>
        <v>255967</v>
      </c>
      <c r="E40" s="185">
        <f>Sovcombank!Z243</f>
        <v>264254</v>
      </c>
      <c r="F40" s="185">
        <f>Sovcombank!AA243</f>
        <v>292636</v>
      </c>
      <c r="G40" s="185">
        <f>Sovcombank!AB243</f>
        <v>322035</v>
      </c>
      <c r="H40" s="185">
        <f>Sovcombank!AC243</f>
        <v>357716</v>
      </c>
      <c r="I40" s="185">
        <f>Sovcombank!AD243</f>
        <v>396917</v>
      </c>
      <c r="J40" s="185">
        <f>Sovcombank!AE243</f>
        <v>413323</v>
      </c>
      <c r="K40" s="185">
        <f>Sovcombank!AF243</f>
        <v>525937</v>
      </c>
      <c r="L40" s="185">
        <f>Sovcombank!AG243</f>
        <v>619016</v>
      </c>
      <c r="M40" s="185">
        <f>Sovcombank!AH243</f>
        <v>643753</v>
      </c>
      <c r="N40" s="185">
        <f>Sovcombank!AI243</f>
        <v>649768</v>
      </c>
      <c r="O40" s="185">
        <f>Sovcombank!AJ243</f>
        <v>816981</v>
      </c>
      <c r="P40" s="185">
        <f>Sovcombank!AK243</f>
        <v>763555</v>
      </c>
      <c r="Q40" s="185">
        <f>Sovcombank!AL243</f>
        <v>679494</v>
      </c>
      <c r="R40" s="185">
        <f>Sovcombank!AM243</f>
        <v>730782</v>
      </c>
      <c r="S40" s="185">
        <f>Sovcombank!AN243</f>
        <v>966406</v>
      </c>
      <c r="T40" s="185">
        <f>Sovcombank!AO243</f>
        <v>1059677</v>
      </c>
      <c r="U40" s="185">
        <f>Sovcombank!AP243</f>
        <v>1085400</v>
      </c>
      <c r="V40" s="185">
        <f>Sovcombank!AQ243</f>
        <v>1399180</v>
      </c>
      <c r="W40" s="185">
        <f>Sovcombank!AR243</f>
        <v>1667050</v>
      </c>
      <c r="X40" s="185">
        <f>Sovcombank!AS243</f>
        <v>1721250</v>
      </c>
      <c r="Y40" s="185">
        <f>Sovcombank!AT243</f>
        <v>1827848</v>
      </c>
      <c r="Z40" s="185">
        <f>Sovcombank!AU243</f>
        <v>1740882</v>
      </c>
      <c r="AA40" s="185">
        <f>Sovcombank!AV243</f>
        <v>1853709</v>
      </c>
      <c r="AB40" s="185">
        <f>Sovcombank!AW243</f>
        <v>1595657</v>
      </c>
      <c r="AC40" s="185">
        <f>Sovcombank!AX243</f>
        <v>1617370</v>
      </c>
      <c r="AE40" s="186"/>
      <c r="AF40" s="186"/>
      <c r="AG40" s="186"/>
      <c r="AH40" s="186"/>
      <c r="AI40" s="186"/>
      <c r="AJ40" s="186"/>
      <c r="AK40" s="186"/>
      <c r="AL40" s="178"/>
      <c r="AM40" s="186"/>
      <c r="AN40" s="186"/>
      <c r="AO40" s="186"/>
      <c r="AP40" s="186"/>
      <c r="AQ40" s="186"/>
      <c r="AR40" s="186"/>
      <c r="AS40" s="178"/>
      <c r="AT40" s="186"/>
      <c r="AU40" s="186"/>
      <c r="AV40" s="186"/>
      <c r="AW40" s="186"/>
      <c r="AX40" s="186"/>
      <c r="AY40" s="186"/>
    </row>
    <row r="41" spans="2:51" x14ac:dyDescent="0.2">
      <c r="B41" s="234" t="s">
        <v>121</v>
      </c>
      <c r="C41" s="235">
        <f>Sovcombank!X240</f>
        <v>110005</v>
      </c>
      <c r="D41" s="235">
        <f>Sovcombank!Y240</f>
        <v>167397</v>
      </c>
      <c r="E41" s="235">
        <f>Sovcombank!Z240</f>
        <v>175494</v>
      </c>
      <c r="F41" s="235">
        <f>Sovcombank!AA240</f>
        <v>195850</v>
      </c>
      <c r="G41" s="235">
        <f>Sovcombank!AB240</f>
        <v>195459</v>
      </c>
      <c r="H41" s="235">
        <f>Sovcombank!AC240</f>
        <v>234229</v>
      </c>
      <c r="I41" s="235">
        <f>Sovcombank!AD240</f>
        <v>267585</v>
      </c>
      <c r="J41" s="235">
        <f>Sovcombank!AE240</f>
        <v>276328</v>
      </c>
      <c r="K41" s="235">
        <f>Sovcombank!AF240</f>
        <v>359950</v>
      </c>
      <c r="L41" s="235">
        <f>Sovcombank!AG240</f>
        <v>467180</v>
      </c>
      <c r="M41" s="235">
        <f>Sovcombank!AH240</f>
        <v>490027</v>
      </c>
      <c r="N41" s="235">
        <f>Sovcombank!AI240</f>
        <v>490912</v>
      </c>
      <c r="O41" s="235">
        <f>Sovcombank!AJ240</f>
        <v>639325</v>
      </c>
      <c r="P41" s="235">
        <f>Sovcombank!AK240</f>
        <v>614331</v>
      </c>
      <c r="Q41" s="235">
        <f>Sovcombank!AL240</f>
        <v>543220</v>
      </c>
      <c r="R41" s="235">
        <f>Sovcombank!AM240</f>
        <v>566261</v>
      </c>
      <c r="S41" s="235">
        <f>Sovcombank!AN240</f>
        <v>796689</v>
      </c>
      <c r="T41" s="235">
        <f>Sovcombank!AO240</f>
        <v>879010</v>
      </c>
      <c r="U41" s="235">
        <f>Sovcombank!AP240</f>
        <v>899376</v>
      </c>
      <c r="V41" s="235">
        <f>Sovcombank!AQ240</f>
        <v>1180628</v>
      </c>
      <c r="W41" s="235">
        <f>Sovcombank!AR240</f>
        <v>1442251</v>
      </c>
      <c r="X41" s="235">
        <f>Sovcombank!AS240</f>
        <v>1448402</v>
      </c>
      <c r="Y41" s="235">
        <f>Sovcombank!AT240</f>
        <v>1581167</v>
      </c>
      <c r="Z41" s="235">
        <f>Sovcombank!AU240</f>
        <v>1449831</v>
      </c>
      <c r="AA41" s="235">
        <f>Sovcombank!AV240</f>
        <v>1606674</v>
      </c>
      <c r="AB41" s="235">
        <f>Sovcombank!AW240</f>
        <v>1328528</v>
      </c>
      <c r="AC41" s="235">
        <f>Sovcombank!AX240</f>
        <v>1331905</v>
      </c>
      <c r="AE41" s="271"/>
      <c r="AF41" s="271"/>
      <c r="AG41" s="271"/>
      <c r="AH41" s="271"/>
      <c r="AI41" s="271"/>
      <c r="AJ41" s="271"/>
      <c r="AK41" s="271"/>
      <c r="AL41" s="178"/>
      <c r="AM41" s="271"/>
      <c r="AN41" s="271"/>
      <c r="AO41" s="271"/>
      <c r="AP41" s="271"/>
      <c r="AQ41" s="271"/>
      <c r="AR41" s="271"/>
      <c r="AS41" s="178"/>
      <c r="AT41" s="271"/>
      <c r="AU41" s="271"/>
      <c r="AV41" s="271"/>
      <c r="AW41" s="271"/>
      <c r="AX41" s="271"/>
      <c r="AY41" s="271"/>
    </row>
    <row r="42" spans="2:51" x14ac:dyDescent="0.2">
      <c r="B42" s="234" t="s">
        <v>379</v>
      </c>
      <c r="C42" s="235">
        <f>Sovcombank!X241</f>
        <v>85954</v>
      </c>
      <c r="D42" s="235">
        <f>Sovcombank!Y241</f>
        <v>88558</v>
      </c>
      <c r="E42" s="235">
        <f>Sovcombank!Z241</f>
        <v>88760</v>
      </c>
      <c r="F42" s="235">
        <f>Sovcombank!AA241</f>
        <v>96786</v>
      </c>
      <c r="G42" s="235">
        <f>Sovcombank!AB241</f>
        <v>103462</v>
      </c>
      <c r="H42" s="235">
        <f>Sovcombank!AC241</f>
        <v>120540</v>
      </c>
      <c r="I42" s="235">
        <f>Sovcombank!AD241</f>
        <v>122839</v>
      </c>
      <c r="J42" s="235">
        <f>Sovcombank!AE241</f>
        <v>136814</v>
      </c>
      <c r="K42" s="235">
        <f>Sovcombank!AF241</f>
        <v>147954</v>
      </c>
      <c r="L42" s="235">
        <f>Sovcombank!AG241</f>
        <v>151836</v>
      </c>
      <c r="M42" s="235">
        <f>Sovcombank!AH241</f>
        <v>153726</v>
      </c>
      <c r="N42" s="235">
        <f>Sovcombank!AI241</f>
        <v>158681</v>
      </c>
      <c r="O42" s="235">
        <f>Sovcombank!AJ241</f>
        <v>177619</v>
      </c>
      <c r="P42" s="235">
        <f>Sovcombank!AK241</f>
        <v>148972</v>
      </c>
      <c r="Q42" s="235">
        <f>Sovcombank!AL241</f>
        <v>136012</v>
      </c>
      <c r="R42" s="235">
        <f>Sovcombank!AM241</f>
        <v>164250</v>
      </c>
      <c r="S42" s="235">
        <f>Sovcombank!AN241</f>
        <v>169506</v>
      </c>
      <c r="T42" s="235">
        <f>Sovcombank!AO241</f>
        <v>180577</v>
      </c>
      <c r="U42" s="235">
        <f>Sovcombank!AP241</f>
        <v>185932</v>
      </c>
      <c r="V42" s="235">
        <f>Sovcombank!AQ241</f>
        <v>218520</v>
      </c>
      <c r="W42" s="235">
        <f>Sovcombank!AR241</f>
        <v>224799</v>
      </c>
      <c r="X42" s="235">
        <f>Sovcombank!AS241</f>
        <v>272224</v>
      </c>
      <c r="Y42" s="235">
        <f>Sovcombank!AT241</f>
        <v>246678</v>
      </c>
      <c r="Z42" s="235">
        <f>Sovcombank!AU241</f>
        <v>291048</v>
      </c>
      <c r="AA42" s="235">
        <f>Sovcombank!AV241</f>
        <v>247035</v>
      </c>
      <c r="AB42" s="235">
        <f>Sovcombank!AW241</f>
        <v>267129</v>
      </c>
      <c r="AC42" s="235">
        <f>Sovcombank!AX241</f>
        <v>285465</v>
      </c>
      <c r="AE42" s="271"/>
      <c r="AF42" s="271"/>
      <c r="AG42" s="271"/>
      <c r="AH42" s="271"/>
      <c r="AI42" s="271"/>
      <c r="AJ42" s="271"/>
      <c r="AK42" s="271"/>
      <c r="AL42" s="178"/>
      <c r="AM42" s="271"/>
      <c r="AN42" s="271"/>
      <c r="AO42" s="271"/>
      <c r="AP42" s="271"/>
      <c r="AQ42" s="271"/>
      <c r="AR42" s="271"/>
      <c r="AS42" s="178"/>
      <c r="AT42" s="271"/>
      <c r="AU42" s="271"/>
      <c r="AV42" s="271"/>
      <c r="AW42" s="271"/>
      <c r="AX42" s="271"/>
      <c r="AY42" s="271"/>
    </row>
    <row r="43" spans="2:51" x14ac:dyDescent="0.2">
      <c r="B43" s="234" t="s">
        <v>122</v>
      </c>
      <c r="C43" s="235">
        <f>Sovcombank!X242</f>
        <v>12</v>
      </c>
      <c r="D43" s="235">
        <f>Sovcombank!Y242</f>
        <v>12</v>
      </c>
      <c r="E43" s="235">
        <f>Sovcombank!Z242</f>
        <v>0</v>
      </c>
      <c r="F43" s="235">
        <f>Sovcombank!AA242</f>
        <v>0</v>
      </c>
      <c r="G43" s="235">
        <f>Sovcombank!AB242</f>
        <v>23114</v>
      </c>
      <c r="H43" s="235">
        <f>Sovcombank!AC242</f>
        <v>2947</v>
      </c>
      <c r="I43" s="235">
        <f>Sovcombank!AD242</f>
        <v>6493</v>
      </c>
      <c r="J43" s="235">
        <f>Sovcombank!AE242</f>
        <v>181</v>
      </c>
      <c r="K43" s="235">
        <f>Sovcombank!AF242</f>
        <v>18033</v>
      </c>
      <c r="L43" s="235">
        <f>Sovcombank!AG242</f>
        <v>0</v>
      </c>
      <c r="M43" s="235">
        <f>Sovcombank!AH242</f>
        <v>0</v>
      </c>
      <c r="N43" s="235">
        <f>Sovcombank!AI242</f>
        <v>175</v>
      </c>
      <c r="O43" s="235">
        <f>Sovcombank!AJ242</f>
        <v>37</v>
      </c>
      <c r="P43" s="235">
        <f>Sovcombank!AK242</f>
        <v>252</v>
      </c>
      <c r="Q43" s="235">
        <f>Sovcombank!AL242</f>
        <v>262</v>
      </c>
      <c r="R43" s="235">
        <f>Sovcombank!AM242</f>
        <v>271</v>
      </c>
      <c r="S43" s="235">
        <f>Sovcombank!AN242</f>
        <v>211</v>
      </c>
      <c r="T43" s="235">
        <f>Sovcombank!AO242</f>
        <v>90</v>
      </c>
      <c r="U43" s="235">
        <f>Sovcombank!AP242</f>
        <v>92</v>
      </c>
      <c r="V43" s="235">
        <f>Sovcombank!AQ242</f>
        <v>32</v>
      </c>
      <c r="W43" s="235">
        <f>Sovcombank!AR242</f>
        <v>0</v>
      </c>
      <c r="X43" s="235">
        <f>Sovcombank!AS242</f>
        <v>624</v>
      </c>
      <c r="Y43" s="235">
        <f>Sovcombank!AT242</f>
        <v>3</v>
      </c>
      <c r="Z43" s="235">
        <f>Sovcombank!AU242</f>
        <v>3</v>
      </c>
      <c r="AA43" s="235">
        <f>Sovcombank!AV242</f>
        <v>0</v>
      </c>
      <c r="AB43" s="235">
        <f>Sovcombank!AW242</f>
        <v>0</v>
      </c>
      <c r="AC43" s="235">
        <f>Sovcombank!AX242</f>
        <v>0</v>
      </c>
      <c r="AE43" s="271"/>
      <c r="AF43" s="271"/>
      <c r="AG43" s="271"/>
      <c r="AH43" s="271"/>
      <c r="AI43" s="271"/>
      <c r="AJ43" s="271"/>
      <c r="AK43" s="271"/>
      <c r="AL43" s="178"/>
      <c r="AM43" s="271"/>
      <c r="AN43" s="271"/>
      <c r="AO43" s="271"/>
      <c r="AP43" s="271"/>
      <c r="AQ43" s="271"/>
      <c r="AR43" s="271"/>
      <c r="AS43" s="178"/>
      <c r="AT43" s="271"/>
      <c r="AU43" s="271"/>
      <c r="AV43" s="271"/>
      <c r="AW43" s="271"/>
      <c r="AX43" s="271"/>
      <c r="AY43" s="271"/>
    </row>
    <row r="44" spans="2:51" x14ac:dyDescent="0.2">
      <c r="B44" s="181" t="s">
        <v>65</v>
      </c>
      <c r="C44" s="185">
        <f>Sovcombank!X40</f>
        <v>8479</v>
      </c>
      <c r="D44" s="185">
        <f>Sovcombank!Y40</f>
        <v>8383</v>
      </c>
      <c r="E44" s="185">
        <f>Sovcombank!Z40</f>
        <v>18315</v>
      </c>
      <c r="F44" s="185">
        <f>Sovcombank!AA40</f>
        <v>18376</v>
      </c>
      <c r="G44" s="185">
        <f>Sovcombank!AB40</f>
        <v>18662</v>
      </c>
      <c r="H44" s="185">
        <f>Sovcombank!AC40</f>
        <v>17657</v>
      </c>
      <c r="I44" s="185">
        <f>Sovcombank!AD40</f>
        <v>29733</v>
      </c>
      <c r="J44" s="185">
        <f>Sovcombank!AE40</f>
        <v>33828</v>
      </c>
      <c r="K44" s="185">
        <f>Sovcombank!AF40</f>
        <v>37757</v>
      </c>
      <c r="L44" s="185">
        <f>Sovcombank!AG40</f>
        <v>61026</v>
      </c>
      <c r="M44" s="185">
        <f>Sovcombank!AH40</f>
        <v>54770</v>
      </c>
      <c r="N44" s="185">
        <f>Sovcombank!AI40</f>
        <v>62687</v>
      </c>
      <c r="O44" s="185">
        <f>Sovcombank!AJ40</f>
        <v>51863</v>
      </c>
      <c r="P44" s="185">
        <f>Sovcombank!AK40</f>
        <v>49778</v>
      </c>
      <c r="Q44" s="185">
        <f>Sovcombank!AL40</f>
        <v>39021</v>
      </c>
      <c r="R44" s="185">
        <f>Sovcombank!AM40</f>
        <v>26755</v>
      </c>
      <c r="S44" s="185">
        <f>Sovcombank!AN40</f>
        <v>19592</v>
      </c>
      <c r="T44" s="185">
        <f>Sovcombank!AO40</f>
        <v>19868</v>
      </c>
      <c r="U44" s="185">
        <f>Sovcombank!AP40</f>
        <v>17886</v>
      </c>
      <c r="V44" s="185">
        <f>Sovcombank!AQ40</f>
        <v>16486</v>
      </c>
      <c r="W44" s="185">
        <f>Sovcombank!AR40</f>
        <v>15890</v>
      </c>
      <c r="X44" s="185">
        <f>Sovcombank!AS40</f>
        <v>22352</v>
      </c>
      <c r="Y44" s="185">
        <f>Sovcombank!AT40</f>
        <v>23638</v>
      </c>
      <c r="Z44" s="185">
        <f>Sovcombank!AU40</f>
        <v>20135</v>
      </c>
      <c r="AA44" s="185">
        <f>Sovcombank!AV40</f>
        <v>54397</v>
      </c>
      <c r="AB44" s="185">
        <f>Sovcombank!AW40</f>
        <v>52673</v>
      </c>
      <c r="AC44" s="185">
        <f>Sovcombank!AX40</f>
        <v>53711</v>
      </c>
      <c r="AE44" s="185"/>
      <c r="AF44" s="185"/>
      <c r="AG44" s="185"/>
      <c r="AH44" s="186"/>
      <c r="AI44" s="186"/>
      <c r="AJ44" s="186"/>
      <c r="AK44" s="186"/>
      <c r="AL44" s="178"/>
      <c r="AM44" s="186"/>
      <c r="AN44" s="186"/>
      <c r="AO44" s="186"/>
      <c r="AP44" s="186"/>
      <c r="AQ44" s="186"/>
      <c r="AR44" s="186"/>
      <c r="AS44" s="178"/>
      <c r="AT44" s="186"/>
      <c r="AU44" s="186"/>
      <c r="AV44" s="186"/>
      <c r="AW44" s="186"/>
      <c r="AX44" s="186"/>
      <c r="AY44" s="186"/>
    </row>
    <row r="45" spans="2:51" x14ac:dyDescent="0.2">
      <c r="B45" s="181" t="s">
        <v>66</v>
      </c>
      <c r="C45" s="185">
        <f>Sovcombank!X41</f>
        <v>16924</v>
      </c>
      <c r="D45" s="185">
        <f>Sovcombank!Y41</f>
        <v>17463</v>
      </c>
      <c r="E45" s="185">
        <f>Sovcombank!Z41</f>
        <v>18028</v>
      </c>
      <c r="F45" s="185">
        <f>Sovcombank!AA41</f>
        <v>18616</v>
      </c>
      <c r="G45" s="185">
        <f>Sovcombank!AB41</f>
        <v>19227</v>
      </c>
      <c r="H45" s="185">
        <f>Sovcombank!AC41</f>
        <v>19852</v>
      </c>
      <c r="I45" s="185">
        <f>Sovcombank!AD41</f>
        <v>20500</v>
      </c>
      <c r="J45" s="185">
        <f>Sovcombank!AE41</f>
        <v>21178</v>
      </c>
      <c r="K45" s="185">
        <f>Sovcombank!AF41</f>
        <v>21880</v>
      </c>
      <c r="L45" s="185">
        <f>Sovcombank!AG41</f>
        <v>22995</v>
      </c>
      <c r="M45" s="185">
        <f>Sovcombank!AH41</f>
        <v>23755</v>
      </c>
      <c r="N45" s="185">
        <f>Sovcombank!AI41</f>
        <v>23607</v>
      </c>
      <c r="O45" s="185">
        <f>Sovcombank!AJ41</f>
        <v>25189</v>
      </c>
      <c r="P45" s="185">
        <f>Sovcombank!AK41</f>
        <v>24988</v>
      </c>
      <c r="Q45" s="185">
        <f>Sovcombank!AL41</f>
        <v>25960</v>
      </c>
      <c r="R45" s="185">
        <f>Sovcombank!AM41</f>
        <v>26483</v>
      </c>
      <c r="S45" s="185">
        <f>Sovcombank!AN41</f>
        <v>27193</v>
      </c>
      <c r="T45" s="185">
        <f>Sovcombank!AO41</f>
        <v>27867</v>
      </c>
      <c r="U45" s="185">
        <f>Sovcombank!AP41</f>
        <v>28800</v>
      </c>
      <c r="V45" s="185">
        <f>Sovcombank!AQ41</f>
        <v>29776</v>
      </c>
      <c r="W45" s="185">
        <f>Sovcombank!AR41</f>
        <v>30910</v>
      </c>
      <c r="X45" s="185">
        <f>Sovcombank!AS41</f>
        <v>31363</v>
      </c>
      <c r="Y45" s="185">
        <f>Sovcombank!AT41</f>
        <v>32285</v>
      </c>
      <c r="Z45" s="185">
        <f>Sovcombank!AU41</f>
        <v>32797</v>
      </c>
      <c r="AA45" s="185">
        <f>Sovcombank!AV41</f>
        <v>33490</v>
      </c>
      <c r="AB45" s="185">
        <f>Sovcombank!AW41</f>
        <v>34620</v>
      </c>
      <c r="AC45" s="185">
        <f>Sovcombank!AX41</f>
        <v>35624</v>
      </c>
      <c r="AE45" s="185"/>
      <c r="AF45" s="185"/>
      <c r="AG45" s="185"/>
      <c r="AH45" s="186"/>
      <c r="AI45" s="186"/>
      <c r="AJ45" s="186"/>
      <c r="AK45" s="186"/>
      <c r="AL45" s="178"/>
      <c r="AM45" s="186"/>
      <c r="AN45" s="186"/>
      <c r="AO45" s="186"/>
      <c r="AP45" s="186"/>
      <c r="AQ45" s="186"/>
      <c r="AR45" s="186"/>
      <c r="AS45" s="178"/>
      <c r="AT45" s="186"/>
      <c r="AU45" s="186"/>
      <c r="AV45" s="186"/>
      <c r="AW45" s="186"/>
      <c r="AX45" s="186"/>
      <c r="AY45" s="186"/>
    </row>
    <row r="46" spans="2:51" x14ac:dyDescent="0.2">
      <c r="B46" s="181" t="s">
        <v>67</v>
      </c>
      <c r="C46" s="185">
        <f>Sovcombank!X42</f>
        <v>13993</v>
      </c>
      <c r="D46" s="185">
        <f>Sovcombank!Y42</f>
        <v>10456</v>
      </c>
      <c r="E46" s="185">
        <f>Sovcombank!Z42</f>
        <v>10214</v>
      </c>
      <c r="F46" s="185">
        <f>Sovcombank!AA42</f>
        <v>10332</v>
      </c>
      <c r="G46" s="185">
        <f>Sovcombank!AB42</f>
        <v>26362</v>
      </c>
      <c r="H46" s="185">
        <f>Sovcombank!AC42</f>
        <v>32050</v>
      </c>
      <c r="I46" s="185">
        <f>Sovcombank!AD42</f>
        <v>28706</v>
      </c>
      <c r="J46" s="185">
        <f>Sovcombank!AE42</f>
        <v>32049</v>
      </c>
      <c r="K46" s="185">
        <f>Sovcombank!AF42</f>
        <v>29765</v>
      </c>
      <c r="L46" s="185">
        <f>Sovcombank!AG42</f>
        <v>30727</v>
      </c>
      <c r="M46" s="185">
        <f>Sovcombank!AH42</f>
        <v>29182</v>
      </c>
      <c r="N46" s="185">
        <f>Sovcombank!AI42</f>
        <v>29800</v>
      </c>
      <c r="O46" s="185">
        <f>Sovcombank!AJ42</f>
        <v>28487</v>
      </c>
      <c r="P46" s="185">
        <f>Sovcombank!AK42</f>
        <v>29478</v>
      </c>
      <c r="Q46" s="185">
        <f>Sovcombank!AL42</f>
        <v>22694</v>
      </c>
      <c r="R46" s="185">
        <f>Sovcombank!AM42</f>
        <v>29319</v>
      </c>
      <c r="S46" s="185">
        <f>Sovcombank!AN42</f>
        <v>35463</v>
      </c>
      <c r="T46" s="185">
        <f>Sovcombank!AO42</f>
        <v>36965</v>
      </c>
      <c r="U46" s="185">
        <f>Sovcombank!AP42</f>
        <v>40824</v>
      </c>
      <c r="V46" s="185">
        <f>Sovcombank!AQ42</f>
        <v>23235</v>
      </c>
      <c r="W46" s="185">
        <f>Sovcombank!AR42</f>
        <v>24426</v>
      </c>
      <c r="X46" s="185">
        <f>Sovcombank!AS42</f>
        <v>24949</v>
      </c>
      <c r="Y46" s="185">
        <f>Sovcombank!AT42</f>
        <v>23469</v>
      </c>
      <c r="Z46" s="185">
        <f>Sovcombank!AU42</f>
        <v>24971</v>
      </c>
      <c r="AA46" s="185">
        <f>Sovcombank!AV42</f>
        <v>26825</v>
      </c>
      <c r="AB46" s="185">
        <f>Sovcombank!AW42</f>
        <v>21850</v>
      </c>
      <c r="AC46" s="185">
        <f>Sovcombank!AX42</f>
        <v>47126</v>
      </c>
      <c r="AE46" s="185"/>
      <c r="AF46" s="185"/>
      <c r="AG46" s="185"/>
      <c r="AH46" s="186"/>
      <c r="AI46" s="186"/>
      <c r="AJ46" s="186"/>
      <c r="AK46" s="186"/>
      <c r="AL46" s="178"/>
      <c r="AM46" s="186"/>
      <c r="AN46" s="186"/>
      <c r="AO46" s="186"/>
      <c r="AP46" s="186"/>
      <c r="AQ46" s="186"/>
      <c r="AR46" s="186"/>
      <c r="AS46" s="178"/>
      <c r="AT46" s="186"/>
      <c r="AU46" s="186"/>
      <c r="AV46" s="186"/>
      <c r="AW46" s="186"/>
      <c r="AX46" s="186"/>
      <c r="AY46" s="186"/>
    </row>
    <row r="47" spans="2:51" x14ac:dyDescent="0.2">
      <c r="B47" s="181" t="s">
        <v>444</v>
      </c>
      <c r="C47" s="185">
        <f>Sovcombank!X69</f>
        <v>0</v>
      </c>
      <c r="D47" s="185">
        <f>Sovcombank!Y69</f>
        <v>0</v>
      </c>
      <c r="E47" s="185">
        <f>Sovcombank!Z69</f>
        <v>0</v>
      </c>
      <c r="F47" s="185">
        <f>Sovcombank!AA69</f>
        <v>0</v>
      </c>
      <c r="G47" s="185">
        <f>Sovcombank!AB69</f>
        <v>5562</v>
      </c>
      <c r="H47" s="185">
        <f>Sovcombank!AC69</f>
        <v>5196</v>
      </c>
      <c r="I47" s="185">
        <f>Sovcombank!AD69</f>
        <v>4589</v>
      </c>
      <c r="J47" s="185">
        <f>Sovcombank!AE69</f>
        <v>4463</v>
      </c>
      <c r="K47" s="185">
        <f>Sovcombank!AF69</f>
        <v>4142</v>
      </c>
      <c r="L47" s="185">
        <f>Sovcombank!AG69</f>
        <v>5526</v>
      </c>
      <c r="M47" s="185">
        <f>Sovcombank!AH69</f>
        <v>6496</v>
      </c>
      <c r="N47" s="185">
        <f>Sovcombank!AI69</f>
        <v>7208</v>
      </c>
      <c r="O47" s="185">
        <f>Sovcombank!AJ69</f>
        <v>7244</v>
      </c>
      <c r="P47" s="185">
        <f>Sovcombank!AK69</f>
        <v>8018</v>
      </c>
      <c r="Q47" s="185">
        <f>Sovcombank!AL69</f>
        <v>7999</v>
      </c>
      <c r="R47" s="185">
        <f>Sovcombank!AM69</f>
        <v>7746</v>
      </c>
      <c r="S47" s="185">
        <f>Sovcombank!AN69</f>
        <v>7589</v>
      </c>
      <c r="T47" s="185">
        <f>Sovcombank!AO69</f>
        <v>7813</v>
      </c>
      <c r="U47" s="185">
        <f>Sovcombank!AP69</f>
        <v>7372</v>
      </c>
      <c r="V47" s="185">
        <f>Sovcombank!AQ69</f>
        <v>8643</v>
      </c>
      <c r="W47" s="185">
        <f>Sovcombank!AR69</f>
        <v>9344</v>
      </c>
      <c r="X47" s="185">
        <f>Sovcombank!AS69</f>
        <v>11969</v>
      </c>
      <c r="Y47" s="185">
        <f>Sovcombank!AT69</f>
        <v>10098</v>
      </c>
      <c r="Z47" s="185">
        <f>Sovcombank!AU69</f>
        <v>11854</v>
      </c>
      <c r="AA47" s="185">
        <f>Sovcombank!AV69</f>
        <v>11551</v>
      </c>
      <c r="AB47" s="185">
        <f>Sovcombank!AW69</f>
        <v>12234</v>
      </c>
      <c r="AC47" s="185">
        <f>Sovcombank!AX69</f>
        <v>9699</v>
      </c>
      <c r="AE47" s="181"/>
      <c r="AF47" s="181"/>
      <c r="AG47" s="185"/>
      <c r="AH47" s="185"/>
      <c r="AI47" s="185"/>
      <c r="AJ47" s="185"/>
      <c r="AK47" s="185"/>
      <c r="AM47" s="181"/>
      <c r="AN47" s="181"/>
      <c r="AO47" s="185"/>
      <c r="AP47" s="185"/>
      <c r="AQ47" s="185"/>
      <c r="AR47" s="185"/>
      <c r="AT47" s="185"/>
      <c r="AU47" s="185"/>
      <c r="AV47" s="185"/>
      <c r="AW47" s="185"/>
      <c r="AX47" s="185"/>
      <c r="AY47" s="185"/>
    </row>
    <row r="48" spans="2:51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E48" s="181"/>
      <c r="AF48" s="181"/>
      <c r="AG48" s="181"/>
      <c r="AH48" s="181"/>
      <c r="AI48" s="181"/>
      <c r="AJ48" s="181"/>
      <c r="AK48" s="181"/>
      <c r="AM48" s="181"/>
      <c r="AN48" s="181"/>
      <c r="AO48" s="181"/>
      <c r="AP48" s="181"/>
      <c r="AQ48" s="181"/>
      <c r="AR48" s="181"/>
      <c r="AT48" s="181"/>
      <c r="AU48" s="181"/>
      <c r="AV48" s="181"/>
      <c r="AW48" s="181"/>
      <c r="AX48" s="181"/>
      <c r="AY48" s="181"/>
    </row>
    <row r="49" spans="2:51" x14ac:dyDescent="0.2">
      <c r="B49" s="181" t="s">
        <v>319</v>
      </c>
      <c r="C49" s="185">
        <f>C37</f>
        <v>402903</v>
      </c>
      <c r="D49" s="185">
        <f t="shared" ref="D49:T49" si="46">D37</f>
        <v>391108</v>
      </c>
      <c r="E49" s="185">
        <f t="shared" si="46"/>
        <v>403339</v>
      </c>
      <c r="F49" s="185">
        <f t="shared" si="46"/>
        <v>425408</v>
      </c>
      <c r="G49" s="185">
        <f t="shared" si="46"/>
        <v>452003</v>
      </c>
      <c r="H49" s="185">
        <f t="shared" si="46"/>
        <v>450951</v>
      </c>
      <c r="I49" s="185">
        <f t="shared" si="46"/>
        <v>457455</v>
      </c>
      <c r="J49" s="185">
        <f t="shared" si="46"/>
        <v>459062</v>
      </c>
      <c r="K49" s="185">
        <f t="shared" si="46"/>
        <v>472656</v>
      </c>
      <c r="L49" s="185">
        <f t="shared" si="46"/>
        <v>487062</v>
      </c>
      <c r="M49" s="185">
        <f t="shared" si="46"/>
        <v>609410</v>
      </c>
      <c r="N49" s="185">
        <f t="shared" si="46"/>
        <v>598958</v>
      </c>
      <c r="O49" s="185">
        <f t="shared" si="46"/>
        <v>602002</v>
      </c>
      <c r="P49" s="185">
        <f t="shared" si="46"/>
        <v>654946</v>
      </c>
      <c r="Q49" s="185">
        <f t="shared" si="46"/>
        <v>671278</v>
      </c>
      <c r="R49" s="185">
        <f t="shared" si="46"/>
        <v>692410</v>
      </c>
      <c r="S49" s="185">
        <f t="shared" si="46"/>
        <v>721422</v>
      </c>
      <c r="T49" s="185">
        <f t="shared" si="46"/>
        <v>748851</v>
      </c>
      <c r="U49" s="185">
        <f t="shared" ref="U49:Z49" si="47">U37</f>
        <v>774096</v>
      </c>
      <c r="V49" s="185">
        <f t="shared" si="47"/>
        <v>800037</v>
      </c>
      <c r="W49" s="185">
        <f t="shared" si="47"/>
        <v>833157</v>
      </c>
      <c r="X49" s="185">
        <f t="shared" si="47"/>
        <v>1005114</v>
      </c>
      <c r="Y49" s="185">
        <f t="shared" si="47"/>
        <v>1023199</v>
      </c>
      <c r="Z49" s="185">
        <f t="shared" si="47"/>
        <v>1063942</v>
      </c>
      <c r="AA49" s="185">
        <f t="shared" ref="AA49:AB49" si="48">AA37</f>
        <v>1187550</v>
      </c>
      <c r="AB49" s="185">
        <f t="shared" si="48"/>
        <v>1230665</v>
      </c>
      <c r="AC49" s="185">
        <f t="shared" ref="AC49" si="49">AC37</f>
        <v>1283838</v>
      </c>
      <c r="AE49" s="185"/>
      <c r="AF49" s="185"/>
      <c r="AG49" s="185"/>
      <c r="AH49" s="185"/>
      <c r="AI49" s="185"/>
      <c r="AJ49" s="185"/>
      <c r="AK49" s="185"/>
      <c r="AM49" s="185"/>
      <c r="AN49" s="185"/>
      <c r="AO49" s="185"/>
      <c r="AP49" s="185"/>
      <c r="AQ49" s="185"/>
      <c r="AR49" s="185"/>
      <c r="AT49" s="185"/>
      <c r="AU49" s="185"/>
      <c r="AV49" s="185"/>
      <c r="AW49" s="185"/>
      <c r="AX49" s="185"/>
      <c r="AY49" s="185"/>
    </row>
    <row r="50" spans="2:51" x14ac:dyDescent="0.2">
      <c r="B50" s="181" t="s">
        <v>361</v>
      </c>
      <c r="C50" s="185">
        <f t="shared" ref="C50:T50" si="50">C41+C42+C43</f>
        <v>195971</v>
      </c>
      <c r="D50" s="185">
        <f t="shared" si="50"/>
        <v>255967</v>
      </c>
      <c r="E50" s="185">
        <f t="shared" si="50"/>
        <v>264254</v>
      </c>
      <c r="F50" s="185">
        <f t="shared" si="50"/>
        <v>292636</v>
      </c>
      <c r="G50" s="185">
        <f t="shared" si="50"/>
        <v>322035</v>
      </c>
      <c r="H50" s="185">
        <f t="shared" si="50"/>
        <v>357716</v>
      </c>
      <c r="I50" s="185">
        <f t="shared" si="50"/>
        <v>396917</v>
      </c>
      <c r="J50" s="185">
        <f t="shared" si="50"/>
        <v>413323</v>
      </c>
      <c r="K50" s="185">
        <f t="shared" si="50"/>
        <v>525937</v>
      </c>
      <c r="L50" s="185">
        <f t="shared" si="50"/>
        <v>619016</v>
      </c>
      <c r="M50" s="185">
        <f t="shared" si="50"/>
        <v>643753</v>
      </c>
      <c r="N50" s="185">
        <f t="shared" si="50"/>
        <v>649768</v>
      </c>
      <c r="O50" s="185">
        <f t="shared" si="50"/>
        <v>816981</v>
      </c>
      <c r="P50" s="185">
        <f t="shared" si="50"/>
        <v>763555</v>
      </c>
      <c r="Q50" s="185">
        <f t="shared" si="50"/>
        <v>679494</v>
      </c>
      <c r="R50" s="185">
        <f t="shared" si="50"/>
        <v>730782</v>
      </c>
      <c r="S50" s="185">
        <f t="shared" si="50"/>
        <v>966406</v>
      </c>
      <c r="T50" s="185">
        <f t="shared" si="50"/>
        <v>1059677</v>
      </c>
      <c r="U50" s="185">
        <f t="shared" ref="U50:Z50" si="51">U41+U42+U43</f>
        <v>1085400</v>
      </c>
      <c r="V50" s="185">
        <f t="shared" si="51"/>
        <v>1399180</v>
      </c>
      <c r="W50" s="185">
        <f t="shared" si="51"/>
        <v>1667050</v>
      </c>
      <c r="X50" s="185">
        <f t="shared" si="51"/>
        <v>1721250</v>
      </c>
      <c r="Y50" s="185">
        <f t="shared" si="51"/>
        <v>1827848</v>
      </c>
      <c r="Z50" s="185">
        <f t="shared" si="51"/>
        <v>1740882</v>
      </c>
      <c r="AA50" s="185">
        <f t="shared" ref="AA50:AB50" si="52">AA41+AA42+AA43</f>
        <v>1853709</v>
      </c>
      <c r="AB50" s="185">
        <f t="shared" si="52"/>
        <v>1595657</v>
      </c>
      <c r="AC50" s="185">
        <f t="shared" ref="AC50" si="53">AC41+AC42+AC43</f>
        <v>1617370</v>
      </c>
      <c r="AE50" s="185"/>
      <c r="AF50" s="185"/>
      <c r="AG50" s="185"/>
      <c r="AH50" s="185"/>
      <c r="AI50" s="185"/>
      <c r="AJ50" s="185"/>
      <c r="AK50" s="185"/>
      <c r="AM50" s="185"/>
      <c r="AN50" s="185"/>
      <c r="AO50" s="185"/>
      <c r="AP50" s="185"/>
      <c r="AQ50" s="185"/>
      <c r="AR50" s="185"/>
      <c r="AT50" s="185"/>
      <c r="AU50" s="185"/>
      <c r="AV50" s="185"/>
      <c r="AW50" s="185"/>
      <c r="AX50" s="185"/>
      <c r="AY50" s="185"/>
    </row>
    <row r="51" spans="2:51" x14ac:dyDescent="0.2">
      <c r="B51" s="181" t="s">
        <v>396</v>
      </c>
      <c r="C51" s="185">
        <f>C46+C45+C44+C36+C47+C35</f>
        <v>230103</v>
      </c>
      <c r="D51" s="185">
        <f t="shared" ref="D51:T51" si="54">D46+D45+D44+D36+D47+D35</f>
        <v>161706</v>
      </c>
      <c r="E51" s="185">
        <f t="shared" si="54"/>
        <v>157517</v>
      </c>
      <c r="F51" s="185">
        <f t="shared" si="54"/>
        <v>126653</v>
      </c>
      <c r="G51" s="185">
        <f t="shared" si="54"/>
        <v>195255</v>
      </c>
      <c r="H51" s="185">
        <f t="shared" si="54"/>
        <v>337042</v>
      </c>
      <c r="I51" s="185">
        <f t="shared" si="54"/>
        <v>451025</v>
      </c>
      <c r="J51" s="185">
        <f t="shared" si="54"/>
        <v>469837</v>
      </c>
      <c r="K51" s="185">
        <f t="shared" si="54"/>
        <v>249568</v>
      </c>
      <c r="L51" s="185">
        <f t="shared" si="54"/>
        <v>248593</v>
      </c>
      <c r="M51" s="185">
        <f t="shared" si="54"/>
        <v>315309</v>
      </c>
      <c r="N51" s="185">
        <f t="shared" si="54"/>
        <v>343934</v>
      </c>
      <c r="O51" s="185">
        <f t="shared" si="54"/>
        <v>364532</v>
      </c>
      <c r="P51" s="185">
        <f t="shared" si="54"/>
        <v>202174</v>
      </c>
      <c r="Q51" s="185">
        <f t="shared" si="54"/>
        <v>241639</v>
      </c>
      <c r="R51" s="185">
        <f t="shared" si="54"/>
        <v>289222</v>
      </c>
      <c r="S51" s="185">
        <f t="shared" si="54"/>
        <v>202658</v>
      </c>
      <c r="T51" s="185">
        <f t="shared" si="54"/>
        <v>138516</v>
      </c>
      <c r="U51" s="185">
        <f t="shared" ref="U51:Z51" si="55">U46+U45+U44+U36+U47+U35</f>
        <v>147943</v>
      </c>
      <c r="V51" s="185">
        <f t="shared" si="55"/>
        <v>177729</v>
      </c>
      <c r="W51" s="185">
        <f t="shared" si="55"/>
        <v>237727</v>
      </c>
      <c r="X51" s="185">
        <f t="shared" si="55"/>
        <v>346158</v>
      </c>
      <c r="Y51" s="185">
        <f t="shared" si="55"/>
        <v>383413</v>
      </c>
      <c r="Z51" s="185">
        <f t="shared" si="55"/>
        <v>444620</v>
      </c>
      <c r="AA51" s="185">
        <f t="shared" ref="AA51:AB51" si="56">AA46+AA45+AA44+AA36+AA47+AA35</f>
        <v>432424</v>
      </c>
      <c r="AB51" s="185">
        <f t="shared" si="56"/>
        <v>464828</v>
      </c>
      <c r="AC51" s="185">
        <f t="shared" ref="AC51" si="57">AC46+AC45+AC44+AC36+AC47+AC35</f>
        <v>424731</v>
      </c>
      <c r="AD51" s="273"/>
      <c r="AE51" s="185"/>
      <c r="AF51" s="185"/>
      <c r="AG51" s="185"/>
      <c r="AH51" s="185"/>
      <c r="AI51" s="185"/>
      <c r="AJ51" s="185"/>
      <c r="AK51" s="185"/>
      <c r="AM51" s="185"/>
      <c r="AN51" s="185"/>
      <c r="AO51" s="185"/>
      <c r="AP51" s="185"/>
      <c r="AQ51" s="185"/>
      <c r="AR51" s="185"/>
      <c r="AT51" s="185"/>
      <c r="AU51" s="185"/>
      <c r="AV51" s="185"/>
      <c r="AW51" s="185"/>
      <c r="AX51" s="185"/>
      <c r="AY51" s="185"/>
    </row>
    <row r="52" spans="2:51" x14ac:dyDescent="0.2"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</row>
    <row r="53" spans="2:51" s="275" customFormat="1" x14ac:dyDescent="0.2">
      <c r="B53" s="287" t="s">
        <v>31</v>
      </c>
      <c r="C53" s="292">
        <f>SUM(C49:C51)-C33</f>
        <v>0</v>
      </c>
      <c r="D53" s="292">
        <f t="shared" ref="D53:U53" si="58">SUM(D49:D51)-D33</f>
        <v>0</v>
      </c>
      <c r="E53" s="292">
        <f t="shared" si="58"/>
        <v>0</v>
      </c>
      <c r="F53" s="292">
        <f t="shared" si="58"/>
        <v>0</v>
      </c>
      <c r="G53" s="292">
        <f t="shared" si="58"/>
        <v>0</v>
      </c>
      <c r="H53" s="292">
        <f t="shared" si="58"/>
        <v>0</v>
      </c>
      <c r="I53" s="292">
        <f t="shared" si="58"/>
        <v>0</v>
      </c>
      <c r="J53" s="292">
        <f t="shared" si="58"/>
        <v>0</v>
      </c>
      <c r="K53" s="292">
        <f t="shared" si="58"/>
        <v>0</v>
      </c>
      <c r="L53" s="292">
        <f t="shared" si="58"/>
        <v>0</v>
      </c>
      <c r="M53" s="292">
        <f t="shared" si="58"/>
        <v>0</v>
      </c>
      <c r="N53" s="292">
        <f t="shared" si="58"/>
        <v>0</v>
      </c>
      <c r="O53" s="292">
        <f t="shared" si="58"/>
        <v>0</v>
      </c>
      <c r="P53" s="292">
        <f t="shared" si="58"/>
        <v>0</v>
      </c>
      <c r="Q53" s="292">
        <f t="shared" si="58"/>
        <v>0</v>
      </c>
      <c r="R53" s="292">
        <f t="shared" si="58"/>
        <v>0</v>
      </c>
      <c r="S53" s="292">
        <f t="shared" si="58"/>
        <v>0</v>
      </c>
      <c r="T53" s="292">
        <f t="shared" si="58"/>
        <v>0</v>
      </c>
      <c r="U53" s="292">
        <f t="shared" si="58"/>
        <v>0</v>
      </c>
      <c r="V53" s="292">
        <f t="shared" ref="V53:W53" si="59">SUM(V49:V51)-V33</f>
        <v>0</v>
      </c>
      <c r="W53" s="292">
        <f t="shared" si="59"/>
        <v>0</v>
      </c>
      <c r="X53" s="292">
        <f t="shared" ref="X53:Y53" si="60">SUM(X49:X51)-X33</f>
        <v>0</v>
      </c>
      <c r="Y53" s="292">
        <f t="shared" si="60"/>
        <v>0</v>
      </c>
      <c r="Z53" s="292">
        <f t="shared" ref="Z53:AA53" si="61">SUM(Z49:Z51)-Z33</f>
        <v>0</v>
      </c>
      <c r="AA53" s="292">
        <f t="shared" si="61"/>
        <v>0</v>
      </c>
      <c r="AB53" s="292">
        <f t="shared" ref="AB53:AC53" si="62">SUM(AB49:AB51)-AB33</f>
        <v>0</v>
      </c>
      <c r="AC53" s="292">
        <f t="shared" si="62"/>
        <v>0</v>
      </c>
      <c r="AD53" s="294"/>
      <c r="AE53" s="292"/>
      <c r="AF53" s="292"/>
      <c r="AG53" s="292"/>
      <c r="AH53" s="292"/>
      <c r="AI53" s="292"/>
      <c r="AJ53" s="292"/>
      <c r="AK53" s="292"/>
      <c r="AL53" s="294"/>
      <c r="AM53" s="292"/>
      <c r="AN53" s="292"/>
      <c r="AO53" s="292"/>
      <c r="AP53" s="292"/>
      <c r="AQ53" s="292"/>
      <c r="AR53" s="292"/>
      <c r="AS53" s="294"/>
      <c r="AT53" s="292"/>
      <c r="AU53" s="292"/>
      <c r="AV53" s="292"/>
      <c r="AW53" s="292"/>
      <c r="AX53" s="292"/>
      <c r="AY53" s="292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AW64"/>
  <sheetViews>
    <sheetView zoomScale="80" zoomScaleNormal="80"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AJ3" sqref="AJ3"/>
    </sheetView>
  </sheetViews>
  <sheetFormatPr defaultRowHeight="11.25" outlineLevelCol="1" x14ac:dyDescent="0.2"/>
  <cols>
    <col min="2" max="2" width="45.6640625" customWidth="1"/>
    <col min="3" max="8" width="11.83203125" hidden="1" customWidth="1" outlineLevel="1"/>
    <col min="9" max="11" width="11" hidden="1" customWidth="1" outlineLevel="1"/>
    <col min="12" max="12" width="11" hidden="1" customWidth="1" outlineLevel="1" collapsed="1"/>
    <col min="13" max="14" width="11" hidden="1" customWidth="1" outlineLevel="1"/>
    <col min="15" max="15" width="11" hidden="1" customWidth="1" outlineLevel="1" collapsed="1"/>
    <col min="16" max="18" width="11" hidden="1" customWidth="1" outlineLevel="1"/>
    <col min="19" max="19" width="11" hidden="1" customWidth="1" outlineLevel="1" collapsed="1"/>
    <col min="20" max="21" width="11" hidden="1" customWidth="1" outlineLevel="1"/>
    <col min="22" max="22" width="12.33203125" hidden="1" customWidth="1" outlineLevel="1"/>
    <col min="23" max="23" width="12.33203125" bestFit="1" customWidth="1" collapsed="1"/>
    <col min="24" max="29" width="12.33203125" customWidth="1"/>
    <col min="30" max="30" width="8.83203125" style="167"/>
    <col min="31" max="31" width="11.83203125" hidden="1" customWidth="1" outlineLevel="1"/>
    <col min="32" max="32" width="11.83203125" hidden="1" customWidth="1" outlineLevel="1" collapsed="1"/>
    <col min="33" max="33" width="11.83203125" hidden="1" customWidth="1" outlineLevel="1"/>
    <col min="34" max="34" width="11.83203125" customWidth="1" collapsed="1"/>
    <col min="35" max="36" width="11.83203125" customWidth="1"/>
    <col min="37" max="37" width="9.33203125" style="167" customWidth="1"/>
    <col min="38" max="38" width="11.83203125" hidden="1" customWidth="1" outlineLevel="1"/>
    <col min="39" max="39" width="11.83203125" hidden="1" customWidth="1" outlineLevel="1" collapsed="1"/>
    <col min="40" max="40" width="11.83203125" hidden="1" customWidth="1" outlineLevel="1"/>
    <col min="41" max="41" width="11.83203125" customWidth="1" collapsed="1"/>
    <col min="42" max="42" width="11.83203125" customWidth="1"/>
    <col min="43" max="43" width="8.83203125" style="167"/>
    <col min="44" max="47" width="11.83203125" hidden="1" customWidth="1" outlineLevel="1"/>
    <col min="48" max="48" width="11.83203125" customWidth="1" collapsed="1"/>
    <col min="49" max="49" width="11.83203125" customWidth="1"/>
  </cols>
  <sheetData>
    <row r="1" spans="1:49" ht="15" x14ac:dyDescent="0.2">
      <c r="A1" s="167"/>
      <c r="B1" s="166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E1" s="166"/>
      <c r="AF1" s="166"/>
      <c r="AG1" s="166"/>
      <c r="AH1" s="166"/>
      <c r="AI1" s="166"/>
      <c r="AJ1" s="166"/>
      <c r="AL1" s="189"/>
      <c r="AM1" s="189"/>
      <c r="AN1" s="189"/>
      <c r="AO1" s="189"/>
      <c r="AP1" s="189"/>
      <c r="AR1" s="189"/>
      <c r="AS1" s="189"/>
      <c r="AT1" s="189"/>
      <c r="AU1" s="189"/>
      <c r="AV1" s="189"/>
      <c r="AW1" s="189"/>
    </row>
    <row r="2" spans="1:49" x14ac:dyDescent="0.2">
      <c r="A2" s="167"/>
      <c r="B2" s="168"/>
      <c r="C2" s="191" t="s">
        <v>1</v>
      </c>
      <c r="D2" s="191" t="s">
        <v>1</v>
      </c>
      <c r="E2" s="192" t="s">
        <v>1</v>
      </c>
      <c r="F2" s="191" t="s">
        <v>1</v>
      </c>
      <c r="G2" s="191" t="s">
        <v>1</v>
      </c>
      <c r="H2" s="191" t="s">
        <v>1</v>
      </c>
      <c r="I2" s="192" t="s">
        <v>1</v>
      </c>
      <c r="J2" s="192" t="s">
        <v>1</v>
      </c>
      <c r="K2" s="191" t="s">
        <v>1</v>
      </c>
      <c r="L2" s="191" t="s">
        <v>1</v>
      </c>
      <c r="M2" s="191" t="s">
        <v>1</v>
      </c>
      <c r="N2" s="191" t="s">
        <v>1</v>
      </c>
      <c r="O2" s="191" t="s">
        <v>1</v>
      </c>
      <c r="P2" s="191" t="s">
        <v>1</v>
      </c>
      <c r="Q2" s="191" t="s">
        <v>1</v>
      </c>
      <c r="R2" s="191" t="s">
        <v>1</v>
      </c>
      <c r="S2" s="191" t="s">
        <v>1</v>
      </c>
      <c r="T2" s="191" t="s">
        <v>1</v>
      </c>
      <c r="U2" s="191" t="s">
        <v>1</v>
      </c>
      <c r="V2" s="191" t="s">
        <v>1</v>
      </c>
      <c r="W2" s="191" t="s">
        <v>1</v>
      </c>
      <c r="X2" s="191" t="s">
        <v>1</v>
      </c>
      <c r="Y2" s="191" t="s">
        <v>1</v>
      </c>
      <c r="Z2" s="191" t="s">
        <v>1</v>
      </c>
      <c r="AA2" s="191" t="s">
        <v>1</v>
      </c>
      <c r="AB2" s="191" t="s">
        <v>1</v>
      </c>
      <c r="AC2" s="191" t="s">
        <v>1</v>
      </c>
      <c r="AE2" s="170" t="s">
        <v>1</v>
      </c>
      <c r="AF2" s="170" t="s">
        <v>1</v>
      </c>
      <c r="AG2" s="170" t="s">
        <v>1</v>
      </c>
      <c r="AH2" s="170" t="s">
        <v>1</v>
      </c>
      <c r="AI2" s="170" t="s">
        <v>1</v>
      </c>
      <c r="AJ2" s="170" t="s">
        <v>1</v>
      </c>
      <c r="AL2" s="191" t="s">
        <v>1</v>
      </c>
      <c r="AM2" s="191" t="s">
        <v>1</v>
      </c>
      <c r="AN2" s="191" t="s">
        <v>1</v>
      </c>
      <c r="AO2" s="191" t="s">
        <v>1</v>
      </c>
      <c r="AP2" s="191" t="s">
        <v>1</v>
      </c>
      <c r="AR2" s="191" t="s">
        <v>1</v>
      </c>
      <c r="AS2" s="191" t="s">
        <v>1</v>
      </c>
      <c r="AT2" s="191" t="s">
        <v>1</v>
      </c>
      <c r="AU2" s="191" t="s">
        <v>1</v>
      </c>
      <c r="AV2" s="191" t="s">
        <v>1</v>
      </c>
      <c r="AW2" s="191" t="s">
        <v>1</v>
      </c>
    </row>
    <row r="3" spans="1:49" x14ac:dyDescent="0.2">
      <c r="A3" s="167"/>
      <c r="B3" s="171"/>
      <c r="C3" s="216" t="s">
        <v>216</v>
      </c>
      <c r="D3" s="216" t="s">
        <v>212</v>
      </c>
      <c r="E3" s="193" t="s">
        <v>312</v>
      </c>
      <c r="F3" s="216" t="s">
        <v>313</v>
      </c>
      <c r="G3" s="216" t="s">
        <v>314</v>
      </c>
      <c r="H3" s="216" t="s">
        <v>315</v>
      </c>
      <c r="I3" s="193" t="s">
        <v>346</v>
      </c>
      <c r="J3" s="193" t="s">
        <v>359</v>
      </c>
      <c r="K3" s="216" t="s">
        <v>369</v>
      </c>
      <c r="L3" s="216" t="s">
        <v>393</v>
      </c>
      <c r="M3" s="216" t="s">
        <v>406</v>
      </c>
      <c r="N3" s="216" t="s">
        <v>412</v>
      </c>
      <c r="O3" s="216" t="s">
        <v>416</v>
      </c>
      <c r="P3" s="216" t="s">
        <v>419</v>
      </c>
      <c r="Q3" s="216" t="s">
        <v>422</v>
      </c>
      <c r="R3" s="216" t="s">
        <v>428</v>
      </c>
      <c r="S3" s="216" t="s">
        <v>430</v>
      </c>
      <c r="T3" s="216" t="s">
        <v>433</v>
      </c>
      <c r="U3" s="216" t="s">
        <v>436</v>
      </c>
      <c r="V3" s="216" t="s">
        <v>457</v>
      </c>
      <c r="W3" s="216" t="s">
        <v>459</v>
      </c>
      <c r="X3" s="216" t="s">
        <v>464</v>
      </c>
      <c r="Y3" s="216" t="s">
        <v>470</v>
      </c>
      <c r="Z3" s="216" t="s">
        <v>474</v>
      </c>
      <c r="AA3" s="216" t="s">
        <v>480</v>
      </c>
      <c r="AB3" s="216" t="s">
        <v>489</v>
      </c>
      <c r="AC3" s="216" t="s">
        <v>507</v>
      </c>
      <c r="AE3" s="171" t="s">
        <v>318</v>
      </c>
      <c r="AF3" s="171" t="s">
        <v>405</v>
      </c>
      <c r="AG3" s="171" t="s">
        <v>423</v>
      </c>
      <c r="AH3" s="171" t="s">
        <v>437</v>
      </c>
      <c r="AI3" s="171" t="s">
        <v>469</v>
      </c>
      <c r="AJ3" s="171" t="s">
        <v>508</v>
      </c>
      <c r="AL3" s="216" t="s">
        <v>358</v>
      </c>
      <c r="AM3" s="216" t="s">
        <v>413</v>
      </c>
      <c r="AN3" s="216" t="s">
        <v>429</v>
      </c>
      <c r="AO3" s="216" t="s">
        <v>456</v>
      </c>
      <c r="AP3" s="216" t="s">
        <v>473</v>
      </c>
      <c r="AR3" s="216">
        <v>2019</v>
      </c>
      <c r="AS3" s="216">
        <v>2020</v>
      </c>
      <c r="AT3" s="216">
        <v>2021</v>
      </c>
      <c r="AU3" s="216">
        <v>2022</v>
      </c>
      <c r="AV3" s="216">
        <v>2023</v>
      </c>
      <c r="AW3" s="216">
        <v>2024</v>
      </c>
    </row>
    <row r="4" spans="1:49" x14ac:dyDescent="0.2">
      <c r="A4" s="167"/>
      <c r="B4" s="173" t="s">
        <v>17</v>
      </c>
      <c r="C4" s="218">
        <v>4</v>
      </c>
      <c r="D4" s="218">
        <v>4</v>
      </c>
      <c r="E4" s="218">
        <v>4</v>
      </c>
      <c r="F4" s="218">
        <v>4</v>
      </c>
      <c r="G4" s="218">
        <v>4</v>
      </c>
      <c r="H4" s="218">
        <v>4</v>
      </c>
      <c r="I4" s="218">
        <v>4</v>
      </c>
      <c r="J4" s="218">
        <v>4</v>
      </c>
      <c r="K4" s="218">
        <v>4</v>
      </c>
      <c r="L4" s="218">
        <v>4</v>
      </c>
      <c r="M4" s="218">
        <v>4</v>
      </c>
      <c r="N4" s="218">
        <v>4</v>
      </c>
      <c r="O4" s="218">
        <v>4</v>
      </c>
      <c r="P4" s="218">
        <v>4</v>
      </c>
      <c r="Q4" s="218">
        <v>4</v>
      </c>
      <c r="R4" s="218">
        <v>4</v>
      </c>
      <c r="S4" s="218">
        <v>4</v>
      </c>
      <c r="T4" s="218">
        <v>4</v>
      </c>
      <c r="U4" s="218">
        <v>4</v>
      </c>
      <c r="V4" s="218">
        <v>4</v>
      </c>
      <c r="W4" s="218">
        <v>4</v>
      </c>
      <c r="X4" s="218">
        <v>4</v>
      </c>
      <c r="Y4" s="218">
        <v>4</v>
      </c>
      <c r="Z4" s="218">
        <v>4</v>
      </c>
      <c r="AA4" s="218">
        <v>4</v>
      </c>
      <c r="AB4" s="218">
        <v>4</v>
      </c>
      <c r="AC4" s="218">
        <v>4</v>
      </c>
      <c r="AE4" s="174">
        <v>2</v>
      </c>
      <c r="AF4" s="174">
        <v>2</v>
      </c>
      <c r="AG4" s="174">
        <v>2</v>
      </c>
      <c r="AH4" s="174">
        <v>2</v>
      </c>
      <c r="AI4" s="174">
        <v>2</v>
      </c>
      <c r="AJ4" s="174">
        <v>2</v>
      </c>
      <c r="AL4" s="218">
        <f>4/3</f>
        <v>1.3333333333333333</v>
      </c>
      <c r="AM4" s="218">
        <f>4/3</f>
        <v>1.3333333333333333</v>
      </c>
      <c r="AN4" s="218">
        <f>4/3</f>
        <v>1.3333333333333333</v>
      </c>
      <c r="AO4" s="218">
        <f>4/3</f>
        <v>1.3333333333333333</v>
      </c>
      <c r="AP4" s="218">
        <f>4/3</f>
        <v>1.3333333333333333</v>
      </c>
      <c r="AR4" s="218">
        <v>1</v>
      </c>
      <c r="AS4" s="218">
        <v>1</v>
      </c>
      <c r="AT4" s="218">
        <v>1</v>
      </c>
      <c r="AU4" s="218">
        <v>1</v>
      </c>
      <c r="AV4" s="218">
        <v>1</v>
      </c>
      <c r="AW4" s="218">
        <v>1</v>
      </c>
    </row>
    <row r="5" spans="1:49" x14ac:dyDescent="0.2">
      <c r="A5" s="167"/>
      <c r="B5" s="167"/>
    </row>
    <row r="6" spans="1:49" x14ac:dyDescent="0.2">
      <c r="A6" s="167"/>
      <c r="B6" s="176" t="s">
        <v>386</v>
      </c>
      <c r="C6" s="219"/>
      <c r="D6" s="219"/>
      <c r="E6" s="219"/>
      <c r="F6" s="219"/>
      <c r="G6" s="219"/>
      <c r="H6" s="241">
        <f>H18*$H$4/AVERAGE(G42:H42)</f>
        <v>0.11819192099470521</v>
      </c>
      <c r="I6" s="219"/>
      <c r="J6" s="219"/>
      <c r="K6" s="241">
        <f>K18*$H$4/AVERAGE(J42:K42)</f>
        <v>0.10090652567662364</v>
      </c>
      <c r="L6" s="241">
        <f t="shared" ref="L6:AA6" si="0">L18*$L$4/AVERAGE(K42:L42)</f>
        <v>0.10597784271616263</v>
      </c>
      <c r="M6" s="241">
        <f t="shared" si="0"/>
        <v>0.12381097341811582</v>
      </c>
      <c r="N6" s="241">
        <f t="shared" si="0"/>
        <v>0.12072760250006453</v>
      </c>
      <c r="O6" s="241">
        <f t="shared" si="0"/>
        <v>0.12822339296183988</v>
      </c>
      <c r="P6" s="241">
        <f t="shared" si="0"/>
        <v>0.13711474815010266</v>
      </c>
      <c r="Q6" s="241">
        <f t="shared" si="0"/>
        <v>0.15153460078695011</v>
      </c>
      <c r="R6" s="241">
        <f t="shared" si="0"/>
        <v>0.14286366421060864</v>
      </c>
      <c r="S6" s="177">
        <f t="shared" si="0"/>
        <v>0.13644427920830429</v>
      </c>
      <c r="T6" s="177">
        <f t="shared" si="0"/>
        <v>0.12790205687430639</v>
      </c>
      <c r="U6" s="177">
        <f t="shared" si="0"/>
        <v>0.13025371326934757</v>
      </c>
      <c r="V6" s="177">
        <f t="shared" si="0"/>
        <v>0.14886638901310018</v>
      </c>
      <c r="W6" s="177">
        <f t="shared" si="0"/>
        <v>0.1757757407397646</v>
      </c>
      <c r="X6" s="177">
        <f t="shared" si="0"/>
        <v>0.18616508258811132</v>
      </c>
      <c r="Y6" s="177">
        <f t="shared" si="0"/>
        <v>0.19966716817585015</v>
      </c>
      <c r="Z6" s="177">
        <f t="shared" si="0"/>
        <v>0.20967631743832138</v>
      </c>
      <c r="AA6" s="177">
        <f t="shared" si="0"/>
        <v>0.22499353485873372</v>
      </c>
      <c r="AB6" s="177">
        <f>AB18*$L$4/AVERAGE(AA42:AB42)</f>
        <v>0.22619106409053477</v>
      </c>
      <c r="AC6" s="177">
        <f>AC18*$L$4/AVERAGE(AB42:AC42)</f>
        <v>0.22914416539042493</v>
      </c>
      <c r="AD6" s="318"/>
      <c r="AE6" s="177">
        <f>AE18*$AE$4/AVERAGE(G42:I42)</f>
        <v>0.11185840234592921</v>
      </c>
      <c r="AF6" s="177">
        <f>AF18*$AE$4/AVERAGE(K42:M42)</f>
        <v>0.11468289549827983</v>
      </c>
      <c r="AG6" s="177">
        <f>AG18*$AE$4/AVERAGE(O42:Q42)</f>
        <v>0.14447273132981042</v>
      </c>
      <c r="AH6" s="177">
        <f>AH18*$AE$4/AVERAGE(S42:U42)</f>
        <v>0.12944223389445761</v>
      </c>
      <c r="AI6" s="177">
        <f>AI18*$AE$4/AVERAGE(W42:Y42)</f>
        <v>0.1946355615592501</v>
      </c>
      <c r="AJ6" s="177">
        <f>AJ18*$AE$4/AVERAGE(AA42:AC42)</f>
        <v>0.22675499357079967</v>
      </c>
      <c r="AK6" s="318"/>
      <c r="AL6" s="177"/>
      <c r="AM6" s="177">
        <f>AM18*$AM$4/AVERAGE(K42:N42)</f>
        <v>0.11762400231888277</v>
      </c>
      <c r="AN6" s="177">
        <f>AN18*$AM$4/AVERAGE(O42:R42)</f>
        <v>0.14263536445226302</v>
      </c>
      <c r="AO6" s="177">
        <f>AO18*$AM$4/AVERAGE(S42:V42)</f>
        <v>0.13537952535409767</v>
      </c>
      <c r="AP6" s="177">
        <f>AP18*$AM$4/AVERAGE(W42:Z42)</f>
        <v>0.20041331127462533</v>
      </c>
      <c r="AQ6" s="318"/>
      <c r="AR6" s="177">
        <f>AR18*$AS$4/AVERAGE(C42:G42)</f>
        <v>0.12137635942235693</v>
      </c>
      <c r="AS6" s="177">
        <f>AS18*$AS$4/AVERAGE(G42:K42)</f>
        <v>0.10911531494815388</v>
      </c>
      <c r="AT6" s="177">
        <f>AT18*$AS$4/AVERAGE(K42:O42)</f>
        <v>0.12079794440156742</v>
      </c>
      <c r="AU6" s="177">
        <f>AU18*$AS$4/AVERAGE(O42:S42)</f>
        <v>0.14051406305513975</v>
      </c>
      <c r="AV6" s="177">
        <f>AV18*$AS$4/AVERAGE(S42:W42)</f>
        <v>0.14618931458638734</v>
      </c>
      <c r="AW6" s="177">
        <f>AW18*$AS$4/AVERAGE(W42:AA42)</f>
        <v>0.20661591228057419</v>
      </c>
    </row>
    <row r="7" spans="1:49" x14ac:dyDescent="0.2">
      <c r="A7" s="167"/>
      <c r="B7" s="181"/>
      <c r="AD7" s="181"/>
      <c r="AK7" s="181"/>
      <c r="AQ7" s="181"/>
    </row>
    <row r="8" spans="1:49" x14ac:dyDescent="0.2">
      <c r="A8" s="167"/>
      <c r="B8" s="220" t="s">
        <v>378</v>
      </c>
      <c r="H8" s="152">
        <f>H24*$H$4/AVERAGE(G48:H48)</f>
        <v>0.19996785771682649</v>
      </c>
      <c r="K8" s="152">
        <f>K24*$H$4/AVERAGE(J48:K48)</f>
        <v>0.19711831135906668</v>
      </c>
      <c r="L8" s="152">
        <f t="shared" ref="L8:AC8" si="1">L24*$L$4/AVERAGE(K48:L48)</f>
        <v>0.20140289839232883</v>
      </c>
      <c r="M8" s="152">
        <f t="shared" si="1"/>
        <v>0.21883473707454024</v>
      </c>
      <c r="N8" s="152">
        <f t="shared" si="1"/>
        <v>0.22157588745445864</v>
      </c>
      <c r="O8" s="152">
        <f t="shared" si="1"/>
        <v>0.17995257355903116</v>
      </c>
      <c r="P8" s="152">
        <f t="shared" si="1"/>
        <v>0.1767410416157108</v>
      </c>
      <c r="Q8" s="152">
        <f t="shared" si="1"/>
        <v>0.19350951991224885</v>
      </c>
      <c r="R8" s="152">
        <f t="shared" si="1"/>
        <v>0.20587806928411975</v>
      </c>
      <c r="S8" s="135">
        <f t="shared" si="1"/>
        <v>0.18994651989610878</v>
      </c>
      <c r="T8" s="135">
        <f t="shared" si="1"/>
        <v>0.18348016555117896</v>
      </c>
      <c r="U8" s="135">
        <f t="shared" si="1"/>
        <v>0.18181208220109191</v>
      </c>
      <c r="V8" s="135">
        <f t="shared" si="1"/>
        <v>0.17583164884004229</v>
      </c>
      <c r="W8" s="135">
        <f t="shared" si="1"/>
        <v>0.17880362941797434</v>
      </c>
      <c r="X8" s="135">
        <f t="shared" si="1"/>
        <v>0.17506768638897627</v>
      </c>
      <c r="Y8" s="135">
        <f t="shared" si="1"/>
        <v>0.20077926424628045</v>
      </c>
      <c r="Z8" s="135">
        <f t="shared" si="1"/>
        <v>0.20760764024928879</v>
      </c>
      <c r="AA8" s="135">
        <f t="shared" si="1"/>
        <v>0.23083167069997496</v>
      </c>
      <c r="AB8" s="135">
        <f t="shared" si="1"/>
        <v>0.21882312235000206</v>
      </c>
      <c r="AC8" s="135">
        <f t="shared" si="1"/>
        <v>0.21685366056361949</v>
      </c>
      <c r="AD8" s="318"/>
      <c r="AE8" s="135">
        <f>AE24*$AE$4/AVERAGE(G48:I48)</f>
        <v>0.21276736710469185</v>
      </c>
      <c r="AF8" s="135">
        <f>AF24*$AE$4/AVERAGE(K48:M48)</f>
        <v>0.20621601375348284</v>
      </c>
      <c r="AG8" s="135">
        <f>AG24*$AE$4/AVERAGE(O48:Q48)</f>
        <v>0.18504687078500137</v>
      </c>
      <c r="AH8" s="135">
        <f>AH24*$AE$4/AVERAGE(S48:U48)</f>
        <v>0.18182364220898473</v>
      </c>
      <c r="AI8" s="135">
        <f>AI24*$AE$4/AVERAGE(W48:Y48)</f>
        <v>0.19173898748504287</v>
      </c>
      <c r="AJ8" s="135">
        <f>AJ24*$AE$4/AVERAGE(AA48:AC48)</f>
        <v>0.21794021610904682</v>
      </c>
      <c r="AK8" s="318"/>
      <c r="AL8" s="135"/>
      <c r="AM8" s="135">
        <f>AM24*$AM$4/AVERAGE(K48:N48)</f>
        <v>0.21430802016736836</v>
      </c>
      <c r="AN8" s="135">
        <f>AN24*$AN$4/AVERAGE(O48:R48)</f>
        <v>0.19168913189191034</v>
      </c>
      <c r="AO8" s="135">
        <f>AO24*$AN$4/AVERAGE(S48:V48)</f>
        <v>0.17946428335484627</v>
      </c>
      <c r="AP8" s="135">
        <f>AP24*$AN$4/AVERAGE(W48:Z48)</f>
        <v>0.19822261130474425</v>
      </c>
      <c r="AQ8" s="318"/>
      <c r="AR8" s="135">
        <f>AR24*$AR$4/AVERAGE(C48:G48)</f>
        <v>0.18187903823747484</v>
      </c>
      <c r="AS8" s="135">
        <f>AS24*$AR$4/AVERAGE(G48:K48)</f>
        <v>0.20086436449811379</v>
      </c>
      <c r="AT8" s="135">
        <f>AT24*$AR$4/AVERAGE(K48:O48)</f>
        <v>0.20432741090110074</v>
      </c>
      <c r="AU8" s="135">
        <f>AU24*$AR$4/AVERAGE(O48:S48)</f>
        <v>0.19132494747457912</v>
      </c>
      <c r="AV8" s="135">
        <f>AV24*$AR$4/AVERAGE(S48:W48)</f>
        <v>0.17918518547221499</v>
      </c>
      <c r="AW8" s="135">
        <f>AW24*$AR$4/AVERAGE(W48:AA48)</f>
        <v>0.20824944944958856</v>
      </c>
    </row>
    <row r="9" spans="1:49" x14ac:dyDescent="0.2">
      <c r="A9" s="167"/>
      <c r="B9" s="197" t="s">
        <v>349</v>
      </c>
      <c r="H9" s="152">
        <f>H26*$H$4/AVERAGE(G50:H50)</f>
        <v>0.28303308190958043</v>
      </c>
      <c r="K9" s="152">
        <f>K26*$H$4/AVERAGE(J50:K50)</f>
        <v>0.27679322229284525</v>
      </c>
      <c r="L9" s="152">
        <f t="shared" ref="L9:AC9" si="2">L26*$L$4/AVERAGE(K50:L50)</f>
        <v>0.30700312221903797</v>
      </c>
      <c r="M9" s="152">
        <f t="shared" si="2"/>
        <v>0.34469948863766653</v>
      </c>
      <c r="N9" s="152">
        <f t="shared" si="2"/>
        <v>0.29191561613993494</v>
      </c>
      <c r="O9" s="152">
        <f t="shared" si="2"/>
        <v>0.24562786513002871</v>
      </c>
      <c r="P9" s="152">
        <f t="shared" si="2"/>
        <v>0.22586965075339491</v>
      </c>
      <c r="Q9" s="152">
        <f t="shared" si="2"/>
        <v>0.28300057689677116</v>
      </c>
      <c r="R9" s="152">
        <f t="shared" si="2"/>
        <v>0.29237041130016883</v>
      </c>
      <c r="S9" s="135">
        <f t="shared" si="2"/>
        <v>0.25632013177051927</v>
      </c>
      <c r="T9" s="135">
        <f t="shared" si="2"/>
        <v>0.23398107411297206</v>
      </c>
      <c r="U9" s="135">
        <f t="shared" si="2"/>
        <v>0.24387996479260646</v>
      </c>
      <c r="V9" s="135">
        <f t="shared" si="2"/>
        <v>0.23378197486630659</v>
      </c>
      <c r="W9" s="135">
        <f t="shared" si="2"/>
        <v>0.24128017217628622</v>
      </c>
      <c r="X9" s="135">
        <f t="shared" si="2"/>
        <v>0.19829369369803243</v>
      </c>
      <c r="Y9" s="135">
        <f t="shared" si="2"/>
        <v>0.25861999566819943</v>
      </c>
      <c r="Z9" s="135">
        <f t="shared" si="2"/>
        <v>0.26230809674529026</v>
      </c>
      <c r="AA9" s="135">
        <f t="shared" si="2"/>
        <v>0.2715896249567199</v>
      </c>
      <c r="AB9" s="135">
        <f t="shared" si="2"/>
        <v>0.25540315916272543</v>
      </c>
      <c r="AC9" s="135">
        <f t="shared" si="2"/>
        <v>0.24400063589716087</v>
      </c>
      <c r="AD9" s="318"/>
      <c r="AE9" s="135">
        <f>AE26*$AE$4/AVERAGE(G50:I50)</f>
        <v>0.28784925076673223</v>
      </c>
      <c r="AF9" s="135">
        <f>AF26*$AE$4/AVERAGE(K50:M50)</f>
        <v>0.31621001225085404</v>
      </c>
      <c r="AG9" s="135">
        <f>AG26*$AE$4/AVERAGE(O50:Q50)</f>
        <v>0.254433499514302</v>
      </c>
      <c r="AH9" s="135">
        <f>AH26*$AE$4/AVERAGE(S50:U50)</f>
        <v>0.23890920562221779</v>
      </c>
      <c r="AI9" s="135">
        <f>AI26*$AE$4/AVERAGE(W50:Y50)</f>
        <v>0.24020199980395524</v>
      </c>
      <c r="AJ9" s="135">
        <f>AJ26*$AE$4/AVERAGE(AA50:AC50)</f>
        <v>0.2501505943712018</v>
      </c>
      <c r="AK9" s="318"/>
      <c r="AL9" s="135"/>
      <c r="AM9" s="135">
        <f>AM26*$AM$4/AVERAGE(K50:N50)</f>
        <v>0.31257995715364634</v>
      </c>
      <c r="AN9" s="135">
        <f>AN26*$AM$4/AVERAGE(O50:R50)</f>
        <v>0.26709662196704548</v>
      </c>
      <c r="AO9" s="135">
        <f>AO26*$AM$4/AVERAGE(S50:V50)</f>
        <v>0.23748165587938944</v>
      </c>
      <c r="AP9" s="135">
        <f>AP26*$AM$4/AVERAGE(W50:Z50)</f>
        <v>0.25177082030248427</v>
      </c>
      <c r="AQ9" s="318"/>
      <c r="AR9" s="135">
        <f>AR26*$AR$4/AVERAGE(C50:G50)</f>
        <v>0.24093447948493849</v>
      </c>
      <c r="AS9" s="135">
        <f>AS26*$AR$4/AVERAGE(G50:K50)</f>
        <v>0.29194313287302642</v>
      </c>
      <c r="AT9" s="135">
        <f>AT26*$AR$4/AVERAGE(K50:O50)</f>
        <v>0.29353946552625287</v>
      </c>
      <c r="AU9" s="135">
        <f>AU26*$AR$4/AVERAGE(O50:S50)</f>
        <v>0.26471827244891799</v>
      </c>
      <c r="AV9" s="135">
        <f>AV26*$AR$4/AVERAGE(S50:W50)</f>
        <v>0.2384427794358463</v>
      </c>
      <c r="AW9" s="135">
        <f>AW26*$AR$4/AVERAGE(W50:AA50)</f>
        <v>0.2582320269919543</v>
      </c>
    </row>
    <row r="10" spans="1:49" x14ac:dyDescent="0.2">
      <c r="A10" s="167"/>
      <c r="B10" s="199" t="s">
        <v>235</v>
      </c>
      <c r="C10" s="200"/>
      <c r="D10" s="200"/>
      <c r="E10" s="200"/>
      <c r="F10" s="200"/>
      <c r="G10" s="200"/>
      <c r="H10" s="240">
        <f>H20*$H$4/AVERAGE(G44:H44)</f>
        <v>0.29520694567129024</v>
      </c>
      <c r="I10" s="200"/>
      <c r="J10" s="200"/>
      <c r="K10" s="240">
        <f>K20*$H$4/AVERAGE(J44:K44)</f>
        <v>0.24858168948108053</v>
      </c>
      <c r="L10" s="240">
        <f t="shared" ref="L10:AC10" si="3">L20*$L$4/AVERAGE(K44:L44)</f>
        <v>0.31698759092854084</v>
      </c>
      <c r="M10" s="240">
        <f t="shared" si="3"/>
        <v>0.26908299020037296</v>
      </c>
      <c r="N10" s="240">
        <f t="shared" si="3"/>
        <v>0.17536439600854539</v>
      </c>
      <c r="O10" s="240">
        <f t="shared" si="3"/>
        <v>0.2388848834414804</v>
      </c>
      <c r="P10" s="240">
        <f t="shared" si="3"/>
        <v>0.19027087071066565</v>
      </c>
      <c r="Q10" s="240">
        <f t="shared" si="3"/>
        <v>0.2556046355269912</v>
      </c>
      <c r="R10" s="240">
        <f t="shared" si="3"/>
        <v>0.20679200154763369</v>
      </c>
      <c r="S10" s="200">
        <f t="shared" si="3"/>
        <v>0.20773143991947551</v>
      </c>
      <c r="T10" s="200">
        <f t="shared" si="3"/>
        <v>0.18079747038962432</v>
      </c>
      <c r="U10" s="200">
        <f t="shared" si="3"/>
        <v>0.19794761678859454</v>
      </c>
      <c r="V10" s="200">
        <f t="shared" si="3"/>
        <v>0.1727253004729466</v>
      </c>
      <c r="W10" s="200">
        <f t="shared" si="3"/>
        <v>0.18690645891725069</v>
      </c>
      <c r="X10" s="200">
        <f t="shared" si="3"/>
        <v>0.14623901262737574</v>
      </c>
      <c r="Y10" s="200">
        <f t="shared" si="3"/>
        <v>0.23136158054344877</v>
      </c>
      <c r="Z10" s="200">
        <f t="shared" si="3"/>
        <v>0.23557594895707415</v>
      </c>
      <c r="AA10" s="200">
        <f t="shared" si="3"/>
        <v>0.23760911916169594</v>
      </c>
      <c r="AB10" s="200">
        <f t="shared" si="3"/>
        <v>0.22831656807242368</v>
      </c>
      <c r="AC10" s="200">
        <f t="shared" si="3"/>
        <v>0.20702773108632219</v>
      </c>
      <c r="AD10" s="318"/>
      <c r="AE10" s="200">
        <f>AE20*$AE$4/AVERAGE(G44:I44)</f>
        <v>0.28922162339413876</v>
      </c>
      <c r="AF10" s="200">
        <f>AF20*$AE$4/AVERAGE(K44:M44)</f>
        <v>0.28721824925881001</v>
      </c>
      <c r="AG10" s="200">
        <f>AG20*$AE$4/AVERAGE(O44:Q44)</f>
        <v>0.22302952801674028</v>
      </c>
      <c r="AH10" s="200">
        <f>AH20*$AE$4/AVERAGE(S44:U44)</f>
        <v>0.18758068845627804</v>
      </c>
      <c r="AI10" s="200">
        <f>AI20*$AE$4/AVERAGE(W44:Y44)</f>
        <v>0.20472024737690619</v>
      </c>
      <c r="AJ10" s="200">
        <f>AJ20*$AE$4/AVERAGE(AA44:AC44)</f>
        <v>0.21830232297461849</v>
      </c>
      <c r="AK10" s="318"/>
      <c r="AL10" s="200"/>
      <c r="AM10" s="200">
        <f>AM20*$AM$4/AVERAGE(K44:N44)</f>
        <v>0.24580430514330823</v>
      </c>
      <c r="AN10" s="200">
        <f>AN20*$AM$4/AVERAGE(O44:R44)</f>
        <v>0.21694523201034208</v>
      </c>
      <c r="AO10" s="200">
        <f>AO20*$AM$4/AVERAGE(S44:V44)</f>
        <v>0.18327489319605719</v>
      </c>
      <c r="AP10" s="200">
        <f>AP20*$AM$4/AVERAGE(W44:Z44)</f>
        <v>0.22062541898963078</v>
      </c>
      <c r="AQ10" s="318"/>
      <c r="AR10" s="200">
        <f>AR20*$AR$4/AVERAGE(C44:G44)</f>
        <v>0.27390423125389041</v>
      </c>
      <c r="AS10" s="200">
        <f>AS20*$AR$4/AVERAGE(G44:K44)</f>
        <v>0.27948103002806246</v>
      </c>
      <c r="AT10" s="200">
        <f>AT20*$AR$4/AVERAGE(K44:O44)</f>
        <v>0.23779437105112006</v>
      </c>
      <c r="AU10" s="200">
        <f>AU20*$AR$4/AVERAGE(O44:S44)</f>
        <v>0.2145288046983739</v>
      </c>
      <c r="AV10" s="200">
        <f>AV20*$AR$4/AVERAGE(S44:W44)</f>
        <v>0.18475322252477627</v>
      </c>
      <c r="AW10" s="200">
        <f>AW20*$AR$4/AVERAGE(W44:AA44)</f>
        <v>0.22672755888813334</v>
      </c>
    </row>
    <row r="11" spans="1:49" x14ac:dyDescent="0.2">
      <c r="A11" s="167"/>
      <c r="B11" s="199" t="s">
        <v>236</v>
      </c>
      <c r="C11" s="200"/>
      <c r="D11" s="200"/>
      <c r="E11" s="200"/>
      <c r="F11" s="200"/>
      <c r="G11" s="200"/>
      <c r="H11" s="240">
        <f>H21*$H$4/AVERAGE(G45:H45)</f>
        <v>0.26591781251048879</v>
      </c>
      <c r="I11" s="200"/>
      <c r="J11" s="200"/>
      <c r="K11" s="240">
        <f>K21*$H$4/AVERAGE(J45:K45)</f>
        <v>0.30872822153017421</v>
      </c>
      <c r="L11" s="240">
        <f t="shared" ref="L11:AC11" si="4">L21*$L$4/AVERAGE(K45:L45)</f>
        <v>0.29580079375240048</v>
      </c>
      <c r="M11" s="240">
        <f t="shared" si="4"/>
        <v>0.40861056751467711</v>
      </c>
      <c r="N11" s="240">
        <f t="shared" si="4"/>
        <v>0.37739381534897742</v>
      </c>
      <c r="O11" s="240">
        <f t="shared" si="4"/>
        <v>0.25234812064806417</v>
      </c>
      <c r="P11" s="240">
        <f t="shared" si="4"/>
        <v>0.2707987456188895</v>
      </c>
      <c r="Q11" s="240">
        <f t="shared" si="4"/>
        <v>0.31627425069256332</v>
      </c>
      <c r="R11" s="240">
        <f t="shared" si="4"/>
        <v>0.39276724628830328</v>
      </c>
      <c r="S11" s="200">
        <f t="shared" si="4"/>
        <v>0.31349638261092261</v>
      </c>
      <c r="T11" s="200">
        <f t="shared" si="4"/>
        <v>0.29496145913746818</v>
      </c>
      <c r="U11" s="200">
        <f t="shared" si="4"/>
        <v>0.30020513762591472</v>
      </c>
      <c r="V11" s="200">
        <f t="shared" si="4"/>
        <v>0.31658186981951414</v>
      </c>
      <c r="W11" s="200">
        <f t="shared" si="4"/>
        <v>0.31390599626771037</v>
      </c>
      <c r="X11" s="200">
        <f t="shared" si="4"/>
        <v>0.29500254621027566</v>
      </c>
      <c r="Y11" s="200">
        <f t="shared" si="4"/>
        <v>0.32212606264838783</v>
      </c>
      <c r="Z11" s="200">
        <f t="shared" si="4"/>
        <v>0.32244900490570017</v>
      </c>
      <c r="AA11" s="200">
        <f t="shared" si="4"/>
        <v>0.34352568644949733</v>
      </c>
      <c r="AB11" s="200">
        <f t="shared" si="4"/>
        <v>0.31016433910082053</v>
      </c>
      <c r="AC11" s="200">
        <f t="shared" si="4"/>
        <v>0.31515239778299947</v>
      </c>
      <c r="AD11" s="318"/>
      <c r="AE11" s="200">
        <f>AE21*$AE$4/AVERAGE(G45:I45)</f>
        <v>0.28595053417239863</v>
      </c>
      <c r="AF11" s="200">
        <f>AF21*$AE$4/AVERAGE(K45:M45)</f>
        <v>0.34269256155369326</v>
      </c>
      <c r="AG11" s="200">
        <f>AG21*$AE$4/AVERAGE(O45:Q45)</f>
        <v>0.29319963406102573</v>
      </c>
      <c r="AH11" s="200">
        <f>AH21*$AE$4/AVERAGE(S45:U45)</f>
        <v>0.30124815002639121</v>
      </c>
      <c r="AI11" s="200">
        <f>AI21*$AE$4/AVERAGE(W45:Y45)</f>
        <v>0.31200347636185366</v>
      </c>
      <c r="AJ11" s="200">
        <f>AJ21*$AE$4/AVERAGE(AA45:AC45)</f>
        <v>0.31287631634064378</v>
      </c>
      <c r="AK11" s="318"/>
      <c r="AL11" s="200"/>
      <c r="AM11" s="200">
        <f>AM21*$AM$4/AVERAGE(K45:N45)</f>
        <v>0.37015271575210473</v>
      </c>
      <c r="AN11" s="200">
        <f>AN21*$AM$4/AVERAGE(O45:R45)</f>
        <v>0.32803841033257686</v>
      </c>
      <c r="AO11" s="200">
        <f>AO21*$AM$4/AVERAGE(S45:V45)</f>
        <v>0.30525367943861392</v>
      </c>
      <c r="AP11" s="200">
        <f>AP21*$AM$4/AVERAGE(W45:Z45)</f>
        <v>0.31605421539364875</v>
      </c>
      <c r="AQ11" s="318"/>
      <c r="AR11" s="200">
        <f>AR21*$AR$4/AVERAGE(C45:G45)</f>
        <v>0.18698959788852662</v>
      </c>
      <c r="AS11" s="200">
        <f>AS21*$AR$4/AVERAGE(G45:K45)</f>
        <v>0.30772693466943279</v>
      </c>
      <c r="AT11" s="200">
        <f>AT21*$AR$4/AVERAGE(K45:O45)</f>
        <v>0.34670073110384897</v>
      </c>
      <c r="AU11" s="200">
        <f>AU21*$AR$4/AVERAGE(O45:S45)</f>
        <v>0.32543558538363343</v>
      </c>
      <c r="AV11" s="200">
        <f>AV21*$AR$4/AVERAGE(S45:W45)</f>
        <v>0.3062905637701272</v>
      </c>
      <c r="AW11" s="200">
        <f>AW21*$AR$4/AVERAGE(W45:AA45)</f>
        <v>0.32324712731417871</v>
      </c>
    </row>
    <row r="12" spans="1:49" x14ac:dyDescent="0.2">
      <c r="B12" s="197" t="s">
        <v>350</v>
      </c>
      <c r="H12" s="152">
        <f>H25*$H$4/AVERAGE(G49:H49)</f>
        <v>0.14818765798566824</v>
      </c>
      <c r="K12" s="152">
        <f>K25*$H$4/AVERAGE(J49:K49)</f>
        <v>0.14342120667085281</v>
      </c>
      <c r="L12" s="152">
        <f t="shared" ref="L12:AC12" si="5">L25*$L$4/AVERAGE(K49:L49)</f>
        <v>0.13024952805380313</v>
      </c>
      <c r="M12" s="152">
        <f t="shared" si="5"/>
        <v>0.11985943969724086</v>
      </c>
      <c r="N12" s="152">
        <f t="shared" si="5"/>
        <v>0.16100325537767898</v>
      </c>
      <c r="O12" s="152">
        <f t="shared" si="5"/>
        <v>0.12553624644351241</v>
      </c>
      <c r="P12" s="152">
        <f t="shared" si="5"/>
        <v>0.13665203836850667</v>
      </c>
      <c r="Q12" s="152">
        <f t="shared" si="5"/>
        <v>0.12023025301208731</v>
      </c>
      <c r="R12" s="152">
        <f t="shared" si="5"/>
        <v>0.13552327143885359</v>
      </c>
      <c r="S12" s="135">
        <f t="shared" si="5"/>
        <v>0.13744425233787555</v>
      </c>
      <c r="T12" s="135">
        <f t="shared" si="5"/>
        <v>0.14439365383576799</v>
      </c>
      <c r="U12" s="135">
        <f t="shared" si="5"/>
        <v>0.13607978943048446</v>
      </c>
      <c r="V12" s="135">
        <f t="shared" si="5"/>
        <v>0.13687160843168508</v>
      </c>
      <c r="W12" s="135">
        <f t="shared" si="5"/>
        <v>0.14017932196699104</v>
      </c>
      <c r="X12" s="135">
        <f t="shared" si="5"/>
        <v>0.15766550836968798</v>
      </c>
      <c r="Y12" s="135">
        <f t="shared" si="5"/>
        <v>0.15207630606349154</v>
      </c>
      <c r="Z12" s="135">
        <f t="shared" si="5"/>
        <v>0.16716881174673828</v>
      </c>
      <c r="AA12" s="135">
        <f t="shared" si="5"/>
        <v>0.20379941050591513</v>
      </c>
      <c r="AB12" s="135">
        <f t="shared" si="5"/>
        <v>0.19566620098857831</v>
      </c>
      <c r="AC12" s="135">
        <f t="shared" si="5"/>
        <v>0.20040434614072267</v>
      </c>
      <c r="AD12" s="318"/>
      <c r="AE12" s="135">
        <f>AE25*$AE$4/AVERAGE(G49:I49)</f>
        <v>0.16569008662175169</v>
      </c>
      <c r="AF12" s="135">
        <f>AF25*$AE$4/AVERAGE(K49:M49)</f>
        <v>0.12335743892759501</v>
      </c>
      <c r="AG12" s="135">
        <f>AG25*$AE$4/AVERAGE(O49:Q49)</f>
        <v>0.12826952848718684</v>
      </c>
      <c r="AH12" s="135">
        <f>AH25*$AE$4/AVERAGE(S49:U49)</f>
        <v>0.13903880052786022</v>
      </c>
      <c r="AI12" s="135">
        <f>AI25*$AE$4/AVERAGE(W49:Y49)</f>
        <v>0.15445700163231474</v>
      </c>
      <c r="AJ12" s="135">
        <f>AJ25*$AE$4/AVERAGE(AA49:AC49)</f>
        <v>0.19803001404551751</v>
      </c>
      <c r="AK12" s="318"/>
      <c r="AL12" s="135"/>
      <c r="AM12" s="135">
        <f>AM25*$AM$4/AVERAGE(K49:N49)</f>
        <v>0.13772361386869333</v>
      </c>
      <c r="AN12" s="135">
        <f>AN25*$AM$4/AVERAGE(O49:R49)</f>
        <v>0.13025737300343967</v>
      </c>
      <c r="AO12" s="135">
        <f>AO25*$AM$4/AVERAGE(S49:V49)</f>
        <v>0.13782234797394538</v>
      </c>
      <c r="AP12" s="135">
        <f>AP25*$AM$4/AVERAGE(W49:Z49)</f>
        <v>0.15840118801946654</v>
      </c>
      <c r="AQ12" s="318"/>
      <c r="AR12" s="135">
        <f>AR25*$AR$4/AVERAGE(C49:G49)</f>
        <v>0.14870333707413133</v>
      </c>
      <c r="AS12" s="135">
        <f>AS25*$AR$4/AVERAGE(G49:K49)</f>
        <v>0.14196219553601744</v>
      </c>
      <c r="AT12" s="135">
        <f>AT25*$AR$4/AVERAGE(K49:O49)</f>
        <v>0.1339671275902439</v>
      </c>
      <c r="AU12" s="135">
        <f>AU25*$AR$4/AVERAGE(O49:S49)</f>
        <v>0.13212850276848703</v>
      </c>
      <c r="AV12" s="135">
        <f>AV25*$AR$4/AVERAGE(S49:W49)</f>
        <v>0.13840019588217536</v>
      </c>
      <c r="AW12" s="135">
        <f>AW25*$AR$4/AVERAGE(W49:AA49)</f>
        <v>0.17230737440206925</v>
      </c>
    </row>
    <row r="13" spans="1:49" x14ac:dyDescent="0.2">
      <c r="B13" s="199" t="s">
        <v>243</v>
      </c>
      <c r="C13" s="200"/>
      <c r="D13" s="200"/>
      <c r="E13" s="200"/>
      <c r="F13" s="200"/>
      <c r="G13" s="200"/>
      <c r="H13" s="240">
        <f>H22*$H$4/AVERAGE(G46:H46)</f>
        <v>0.15095142738292172</v>
      </c>
      <c r="I13" s="200"/>
      <c r="J13" s="200"/>
      <c r="K13" s="240">
        <f>K22*$H$4/AVERAGE(J46:K46)</f>
        <v>0.14627665645530208</v>
      </c>
      <c r="L13" s="240">
        <f t="shared" ref="L13:AC13" si="6">L22*$L$4/AVERAGE(K46:L46)</f>
        <v>0.13406202315567367</v>
      </c>
      <c r="M13" s="240">
        <f t="shared" si="6"/>
        <v>0.14955102040816326</v>
      </c>
      <c r="N13" s="240">
        <f t="shared" si="6"/>
        <v>0.12105024682231179</v>
      </c>
      <c r="O13" s="240">
        <f t="shared" si="6"/>
        <v>0.11859925617704459</v>
      </c>
      <c r="P13" s="240">
        <f t="shared" si="6"/>
        <v>0.14109466364642048</v>
      </c>
      <c r="Q13" s="240">
        <f t="shared" si="6"/>
        <v>9.7611170359568095E-2</v>
      </c>
      <c r="R13" s="240">
        <f t="shared" si="6"/>
        <v>0.14414974175760165</v>
      </c>
      <c r="S13" s="200">
        <f t="shared" si="6"/>
        <v>0.13905506155635836</v>
      </c>
      <c r="T13" s="200">
        <f t="shared" si="6"/>
        <v>0.16867519205518791</v>
      </c>
      <c r="U13" s="200">
        <f t="shared" si="6"/>
        <v>0.14998466680180672</v>
      </c>
      <c r="V13" s="200">
        <f t="shared" si="6"/>
        <v>0.14880907506530019</v>
      </c>
      <c r="W13" s="200">
        <f t="shared" si="6"/>
        <v>0.13513061146640612</v>
      </c>
      <c r="X13" s="200">
        <f t="shared" si="6"/>
        <v>0.16847515606143482</v>
      </c>
      <c r="Y13" s="200">
        <f t="shared" si="6"/>
        <v>0.15986222143507123</v>
      </c>
      <c r="Z13" s="200">
        <f t="shared" si="6"/>
        <v>0.17644392356636138</v>
      </c>
      <c r="AA13" s="200">
        <f t="shared" si="6"/>
        <v>0.22465047813143735</v>
      </c>
      <c r="AB13" s="200">
        <f t="shared" si="6"/>
        <v>0.21047379489505588</v>
      </c>
      <c r="AC13" s="200">
        <f t="shared" si="6"/>
        <v>0.21188352042421157</v>
      </c>
      <c r="AD13" s="318"/>
      <c r="AE13" s="200">
        <f>AE22*$AE$4/AVERAGE(G46:I46)</f>
        <v>0.14430893000804507</v>
      </c>
      <c r="AF13" s="200">
        <f>AF22*$AE$4/AVERAGE(K46:M46)</f>
        <v>0.14141366834876887</v>
      </c>
      <c r="AG13" s="200">
        <f>AG22*$AE$4/AVERAGE(O46:Q46)</f>
        <v>0.11886810701768123</v>
      </c>
      <c r="AH13" s="200">
        <f>AH22*$AE$4/AVERAGE(S46:U46)</f>
        <v>0.15704605914995082</v>
      </c>
      <c r="AI13" s="200">
        <f>AI22*$AE$4/AVERAGE(W46:Y46)</f>
        <v>0.16322814028281399</v>
      </c>
      <c r="AJ13" s="200">
        <f>AJ22*$AE$4/AVERAGE(AA46:AC46)</f>
        <v>0.21125780387047699</v>
      </c>
      <c r="AK13" s="318"/>
      <c r="AL13" s="200"/>
      <c r="AM13" s="200">
        <f>AM22*$AM$4/AVERAGE(K46:N46)</f>
        <v>0.13387208408914364</v>
      </c>
      <c r="AN13" s="200">
        <f>AN22*$AM$4/AVERAGE(O46:R46)</f>
        <v>0.12728888529594878</v>
      </c>
      <c r="AO13" s="200">
        <f>AO22*$AM$4/AVERAGE(S46:V46)</f>
        <v>0.15343826599222568</v>
      </c>
      <c r="AP13" s="200">
        <f>AP22*$AM$4/AVERAGE(W46:Z46)</f>
        <v>0.16658085519081195</v>
      </c>
      <c r="AQ13" s="318"/>
      <c r="AR13" s="200">
        <f>AR22*$AR$4/AVERAGE(C46:G46)</f>
        <v>0.14827453131030002</v>
      </c>
      <c r="AS13" s="200">
        <f>AS22*$AR$4/AVERAGE(G46:K46)</f>
        <v>0.14352938067563004</v>
      </c>
      <c r="AT13" s="200">
        <f>AT22*$AR$4/AVERAGE(K46:O46)</f>
        <v>0.12952417295329791</v>
      </c>
      <c r="AU13" s="200">
        <f>AU22*$AR$4/AVERAGE(O46:S46)</f>
        <v>0.13047911636810977</v>
      </c>
      <c r="AV13" s="200">
        <f>AV22*$AR$4/AVERAGE(S46:W46)</f>
        <v>0.14786531541345194</v>
      </c>
      <c r="AW13" s="200">
        <f>AW22*$AR$4/AVERAGE(W46:AA46)</f>
        <v>0.18543457344364353</v>
      </c>
    </row>
    <row r="14" spans="1:49" x14ac:dyDescent="0.2">
      <c r="B14" s="199" t="s">
        <v>42</v>
      </c>
      <c r="C14" s="200"/>
      <c r="D14" s="200"/>
      <c r="E14" s="200"/>
      <c r="F14" s="200"/>
      <c r="G14" s="200"/>
      <c r="H14" s="240">
        <f>H23*$H$4/AVERAGE(G47:H47)</f>
        <v>0.1440539406479244</v>
      </c>
      <c r="I14" s="200"/>
      <c r="J14" s="200"/>
      <c r="K14" s="240">
        <f>K23*$H$4/AVERAGE(J47:K47)</f>
        <v>0.13943255084275574</v>
      </c>
      <c r="L14" s="240">
        <f t="shared" ref="L14:AC14" si="7">L23*$L$4/AVERAGE(K47:L47)</f>
        <v>0.12537486250217103</v>
      </c>
      <c r="M14" s="240">
        <f t="shared" si="7"/>
        <v>8.7092170334229474E-2</v>
      </c>
      <c r="N14" s="240">
        <f t="shared" si="7"/>
        <v>0.20028920936413022</v>
      </c>
      <c r="O14" s="240">
        <f t="shared" si="7"/>
        <v>0.13199148839934621</v>
      </c>
      <c r="P14" s="240">
        <f t="shared" si="7"/>
        <v>0.13265354502438578</v>
      </c>
      <c r="Q14" s="240">
        <f t="shared" si="7"/>
        <v>0.14081301720476117</v>
      </c>
      <c r="R14" s="240">
        <f t="shared" si="7"/>
        <v>0.12764674944006807</v>
      </c>
      <c r="S14" s="200">
        <f t="shared" si="7"/>
        <v>0.1359941198901348</v>
      </c>
      <c r="T14" s="200">
        <f t="shared" si="7"/>
        <v>0.122553119854384</v>
      </c>
      <c r="U14" s="200">
        <f t="shared" si="7"/>
        <v>0.12285886550759589</v>
      </c>
      <c r="V14" s="200">
        <f t="shared" si="7"/>
        <v>0.12470219123956257</v>
      </c>
      <c r="W14" s="200">
        <f t="shared" si="7"/>
        <v>0.14553594105876985</v>
      </c>
      <c r="X14" s="200">
        <f t="shared" si="7"/>
        <v>0.14597778190823257</v>
      </c>
      <c r="Y14" s="200">
        <f t="shared" si="7"/>
        <v>0.14334812137145361</v>
      </c>
      <c r="Z14" s="200">
        <f t="shared" si="7"/>
        <v>0.15557453184471751</v>
      </c>
      <c r="AA14" s="200">
        <f t="shared" si="7"/>
        <v>0.17557104544901056</v>
      </c>
      <c r="AB14" s="200">
        <f t="shared" si="7"/>
        <v>0.17516506289945508</v>
      </c>
      <c r="AC14" s="200">
        <f t="shared" si="7"/>
        <v>0.18423513264577338</v>
      </c>
      <c r="AD14" s="318"/>
      <c r="AE14" s="200">
        <f>AE23*$AE$4/AVERAGE(G47:I47)</f>
        <v>0.19751856287425151</v>
      </c>
      <c r="AF14" s="200">
        <f>AF23*$AE$4/AVERAGE(K47:M47)</f>
        <v>0.10232897446036789</v>
      </c>
      <c r="AG14" s="200">
        <f>AG23*$AE$4/AVERAGE(O47:Q47)</f>
        <v>0.13679056254070029</v>
      </c>
      <c r="AH14" s="200">
        <f>AH23*$AE$4/AVERAGE(S47:U47)</f>
        <v>0.12224506892087426</v>
      </c>
      <c r="AI14" s="200">
        <f>AI23*$AE$4/AVERAGE(W47:Y47)</f>
        <v>0.14474209360294629</v>
      </c>
      <c r="AJ14" s="200">
        <f>AJ23*$AE$4/AVERAGE(AA47:AC47)</f>
        <v>0.17957839881853843</v>
      </c>
      <c r="AK14" s="318"/>
      <c r="AL14" s="200"/>
      <c r="AM14" s="200">
        <f>AM23*$AM$4/AVERAGE(K47:N47)</f>
        <v>0.14196920205319646</v>
      </c>
      <c r="AN14" s="200">
        <f>AN23*$AM$4/AVERAGE(O47:R47)</f>
        <v>0.13294909797848831</v>
      </c>
      <c r="AO14" s="200">
        <f>AO23*$AM$4/AVERAGE(S47:V47)</f>
        <v>0.12276879785778659</v>
      </c>
      <c r="AP14" s="200">
        <f>AP23*$AM$4/AVERAGE(W47:Z47)</f>
        <v>0.14880883265743777</v>
      </c>
      <c r="AQ14" s="318"/>
      <c r="AR14" s="200">
        <f>AR23*$AR$4/AVERAGE(C47:G47)</f>
        <v>0.14931127713696066</v>
      </c>
      <c r="AS14" s="200">
        <f>AS23*$AR$4/AVERAGE(G47:K47)</f>
        <v>0.13969093739143282</v>
      </c>
      <c r="AT14" s="200">
        <f>AT23*$AR$4/AVERAGE(K47:O47)</f>
        <v>0.13862282867811035</v>
      </c>
      <c r="AU14" s="200">
        <f>AU23*$AR$4/AVERAGE(O47:S47)</f>
        <v>0.13361910084303397</v>
      </c>
      <c r="AV14" s="200">
        <f>AV23*$AR$4/AVERAGE(S47:W47)</f>
        <v>0.12902562747983118</v>
      </c>
      <c r="AW14" s="200">
        <f>AW23*$AR$4/AVERAGE(W47:AA47)</f>
        <v>0.15632655925968109</v>
      </c>
    </row>
    <row r="15" spans="1:49" x14ac:dyDescent="0.2">
      <c r="B15" s="220" t="s">
        <v>382</v>
      </c>
      <c r="H15" s="152">
        <f>H28*$H$4/AVERAGE(G52:H52)</f>
        <v>8.6578729127900017E-2</v>
      </c>
      <c r="K15" s="152">
        <f>K28*$H$4/AVERAGE(J52:K52)</f>
        <v>8.08171761168716E-2</v>
      </c>
      <c r="L15" s="152">
        <f t="shared" ref="L15:AC15" si="8">L28*$L$4/AVERAGE(K52:L52)</f>
        <v>6.7700116947423422E-2</v>
      </c>
      <c r="M15" s="152">
        <f t="shared" si="8"/>
        <v>7.3220625783740501E-2</v>
      </c>
      <c r="N15" s="152">
        <f t="shared" si="8"/>
        <v>8.7103073754046176E-2</v>
      </c>
      <c r="O15" s="152">
        <f t="shared" si="8"/>
        <v>0.10661743459503359</v>
      </c>
      <c r="P15" s="152">
        <f t="shared" si="8"/>
        <v>0.12110930368068369</v>
      </c>
      <c r="Q15" s="152">
        <f t="shared" si="8"/>
        <v>0.14154117008487058</v>
      </c>
      <c r="R15" s="152">
        <f t="shared" si="8"/>
        <v>0.11760366541373421</v>
      </c>
      <c r="S15" s="135">
        <f t="shared" si="8"/>
        <v>0.11858515125219463</v>
      </c>
      <c r="T15" s="135">
        <f t="shared" si="8"/>
        <v>0.10251467274460549</v>
      </c>
      <c r="U15" s="135">
        <f t="shared" si="8"/>
        <v>0.10254237480146547</v>
      </c>
      <c r="V15" s="135">
        <f t="shared" si="8"/>
        <v>0.11875036633257136</v>
      </c>
      <c r="W15" s="135">
        <f t="shared" si="8"/>
        <v>0.15043759494427389</v>
      </c>
      <c r="X15" s="135">
        <f t="shared" si="8"/>
        <v>0.15350039425027093</v>
      </c>
      <c r="Y15" s="135">
        <f t="shared" si="8"/>
        <v>0.15416294290013086</v>
      </c>
      <c r="Z15" s="135">
        <f t="shared" si="8"/>
        <v>0.17450587599127887</v>
      </c>
      <c r="AA15" s="135">
        <f t="shared" si="8"/>
        <v>0.19186735731894694</v>
      </c>
      <c r="AB15" s="135">
        <f t="shared" si="8"/>
        <v>0.19813202195441201</v>
      </c>
      <c r="AC15" s="135">
        <f t="shared" si="8"/>
        <v>0.19970657676678244</v>
      </c>
      <c r="AD15" s="318"/>
      <c r="AE15" s="135">
        <f>AE28*$AE$4/AVERAGE(G52:I52)</f>
        <v>8.6156067168148318E-2</v>
      </c>
      <c r="AF15" s="135">
        <f>AF28*$AE$4/AVERAGE(K52:M52)</f>
        <v>7.0645303281130278E-2</v>
      </c>
      <c r="AG15" s="135">
        <f>AG28*$AE$4/AVERAGE(O52:Q52)</f>
        <v>0.13002374862988675</v>
      </c>
      <c r="AH15" s="135">
        <f>AH28*$AE$4/AVERAGE(S52:U52)</f>
        <v>0.10266739118797746</v>
      </c>
      <c r="AI15" s="135">
        <f>AI28*$AE$4/AVERAGE(W52:Y52)</f>
        <v>0.15407592519657637</v>
      </c>
      <c r="AJ15" s="135">
        <f>AJ28*$AE$4/AVERAGE(AA52:AC52)</f>
        <v>0.19719061844530605</v>
      </c>
      <c r="AK15" s="318"/>
      <c r="AL15" s="135"/>
      <c r="AM15" s="135">
        <f>AM28*$AM$4/AVERAGE(K52:N52)</f>
        <v>7.7464943026845631E-2</v>
      </c>
      <c r="AN15" s="135">
        <f>AN28*$AM$4/AVERAGE(O52:R52)</f>
        <v>0.12406081945165617</v>
      </c>
      <c r="AO15" s="135">
        <f>AO28*$AM$4/AVERAGE(S52:V52)</f>
        <v>0.10747912356146033</v>
      </c>
      <c r="AP15" s="135">
        <f>AP28*$AM$4/AVERAGE(W52:Z52)</f>
        <v>0.16178757010991221</v>
      </c>
      <c r="AQ15" s="318"/>
      <c r="AR15" s="135">
        <f>AR28*$AR$4/AVERAGE(C52:G52)</f>
        <v>0.10293028542461219</v>
      </c>
      <c r="AS15" s="135">
        <f>AS28*$AR$4/AVERAGE(G52:K52)</f>
        <v>8.3011468918500808E-2</v>
      </c>
      <c r="AT15" s="135">
        <f>AT28*$AR$4/AVERAGE(K52:O52)</f>
        <v>8.6507889439434466E-2</v>
      </c>
      <c r="AU15" s="135">
        <f>AU28*$AR$4/AVERAGE(O52:S52)</f>
        <v>0.12216927759356822</v>
      </c>
      <c r="AV15" s="135">
        <f>AV28*$AR$4/AVERAGE(S52:W52)</f>
        <v>0.11922416911313184</v>
      </c>
      <c r="AW15" s="135">
        <f>AW28*$AR$4/AVERAGE(W52:AA52)</f>
        <v>0.16906068765453458</v>
      </c>
    </row>
    <row r="16" spans="1:49" x14ac:dyDescent="0.2">
      <c r="B16" s="220" t="s">
        <v>383</v>
      </c>
      <c r="H16" s="152">
        <f>H29*$H$4/AVERAGE(G53:H53)</f>
        <v>8.5992876101934998E-2</v>
      </c>
      <c r="K16" s="152">
        <f>K29*$H$4/AVERAGE(J53:K53)</f>
        <v>7.5334578426344362E-2</v>
      </c>
      <c r="L16" s="152">
        <f t="shared" ref="L16:AC16" si="9">L29*$L$4/AVERAGE(K53:L53)</f>
        <v>8.1632742351305618E-2</v>
      </c>
      <c r="M16" s="152">
        <f t="shared" si="9"/>
        <v>5.9960134673608466E-2</v>
      </c>
      <c r="N16" s="152">
        <f t="shared" si="9"/>
        <v>8.5928751585021917E-2</v>
      </c>
      <c r="O16" s="152">
        <f t="shared" si="9"/>
        <v>0.10343466710647999</v>
      </c>
      <c r="P16" s="152">
        <f t="shared" si="9"/>
        <v>0.11800307430444956</v>
      </c>
      <c r="Q16" s="152">
        <f t="shared" si="9"/>
        <v>0.14100484998889143</v>
      </c>
      <c r="R16" s="152">
        <f t="shared" si="9"/>
        <v>0.11667529628954167</v>
      </c>
      <c r="S16" s="135">
        <f t="shared" si="9"/>
        <v>0.11823986886576228</v>
      </c>
      <c r="T16" s="135">
        <f t="shared" si="9"/>
        <v>0.10206454553487961</v>
      </c>
      <c r="U16" s="135">
        <f t="shared" si="9"/>
        <v>0.10210484920395146</v>
      </c>
      <c r="V16" s="135">
        <f t="shared" si="9"/>
        <v>0.11833321417951197</v>
      </c>
      <c r="W16" s="135">
        <f t="shared" si="9"/>
        <v>0.1488109045926235</v>
      </c>
      <c r="X16" s="135">
        <f t="shared" si="9"/>
        <v>0.15337261128800597</v>
      </c>
      <c r="Y16" s="135">
        <f t="shared" si="9"/>
        <v>0.15404265734514999</v>
      </c>
      <c r="Z16" s="135">
        <f t="shared" si="9"/>
        <v>0.17435955374837303</v>
      </c>
      <c r="AA16" s="135">
        <f t="shared" si="9"/>
        <v>0.19170148730385997</v>
      </c>
      <c r="AB16" s="135">
        <f t="shared" si="9"/>
        <v>0.19803843208970109</v>
      </c>
      <c r="AC16" s="135">
        <f t="shared" si="9"/>
        <v>0.199616269792181</v>
      </c>
      <c r="AD16" s="318"/>
      <c r="AE16" s="135">
        <f>AE29*$AE$4/AVERAGE(G53:I53)</f>
        <v>7.835918279285517E-2</v>
      </c>
      <c r="AF16" s="135">
        <f>AF29*$AE$4/AVERAGE(K53:M53)</f>
        <v>6.9687305694285662E-2</v>
      </c>
      <c r="AG16" s="135">
        <f>AG29*$AE$4/AVERAGE(O53:Q53)</f>
        <v>0.12835143796971238</v>
      </c>
      <c r="AH16" s="135">
        <f>AH29*$AE$4/AVERAGE(S53:U53)</f>
        <v>0.10227831315223498</v>
      </c>
      <c r="AI16" s="135">
        <f>AI29*$AE$4/AVERAGE(W53:Y53)</f>
        <v>0.15395238633747033</v>
      </c>
      <c r="AJ16" s="135">
        <f>AJ29*$AE$4/AVERAGE(AA53:AC53)</f>
        <v>0.19710139609195873</v>
      </c>
      <c r="AK16" s="318"/>
      <c r="AL16" s="135"/>
      <c r="AM16" s="135">
        <f>AM29*$AM$4/AVERAGE(K53:N53)</f>
        <v>7.6088326544178672E-2</v>
      </c>
      <c r="AN16" s="135">
        <f>AN29*$AM$4/AVERAGE(O53:R53)</f>
        <v>0.12262438167493281</v>
      </c>
      <c r="AO16" s="135">
        <f>AO29*$AM$4/AVERAGE(S53:V53)</f>
        <v>0.10692334229864439</v>
      </c>
      <c r="AP16" s="135">
        <f>AP29*$AM$4/AVERAGE(W53:Z53)</f>
        <v>0.16165353190201931</v>
      </c>
      <c r="AQ16" s="318"/>
      <c r="AR16" s="135">
        <f>AR29*$AR$4/AVERAGE(C53:G53)</f>
        <v>8.7612530197580363E-2</v>
      </c>
      <c r="AS16" s="135">
        <f>AS29*$AR$4/AVERAGE(G53:K53)</f>
        <v>7.7763350450463217E-2</v>
      </c>
      <c r="AT16" s="135">
        <f>AT29*$AR$4/AVERAGE(K53:O53)</f>
        <v>8.4308561521194786E-2</v>
      </c>
      <c r="AU16" s="135">
        <f>AU29*$AR$4/AVERAGE(O53:S53)</f>
        <v>0.12102802776004448</v>
      </c>
      <c r="AV16" s="135">
        <f>AV29*$AR$4/AVERAGE(S53:W53)</f>
        <v>0.11853311644978312</v>
      </c>
      <c r="AW16" s="135">
        <f>AW29*$AR$4/AVERAGE(W53:AA53)</f>
        <v>0.16892635837058737</v>
      </c>
    </row>
    <row r="17" spans="1:49" x14ac:dyDescent="0.2">
      <c r="AD17" s="181"/>
      <c r="AK17" s="181"/>
      <c r="AQ17" s="181"/>
    </row>
    <row r="18" spans="1:49" x14ac:dyDescent="0.2">
      <c r="B18" s="176" t="s">
        <v>9</v>
      </c>
      <c r="C18" s="219"/>
      <c r="D18" s="219"/>
      <c r="E18" s="219"/>
      <c r="F18" s="219"/>
      <c r="G18" s="219"/>
      <c r="H18" s="179">
        <f>Sovcombank!AC87</f>
        <v>31042</v>
      </c>
      <c r="I18" s="219"/>
      <c r="J18" s="219"/>
      <c r="K18" s="179">
        <f>AS18-AL18</f>
        <v>33552</v>
      </c>
      <c r="L18" s="179">
        <f>Sovcombank!AG87</f>
        <v>35296</v>
      </c>
      <c r="M18" s="179">
        <f>AF18-L18</f>
        <v>45857</v>
      </c>
      <c r="N18" s="179">
        <f>AM18-AF18</f>
        <v>48524</v>
      </c>
      <c r="O18" s="179">
        <f>AT18-AM18</f>
        <v>53417</v>
      </c>
      <c r="P18" s="179">
        <f>Sovcombank!AK87</f>
        <v>58006</v>
      </c>
      <c r="Q18" s="179">
        <f>AG18-P18</f>
        <v>63068</v>
      </c>
      <c r="R18" s="179">
        <f>AN18-AG18</f>
        <v>61418</v>
      </c>
      <c r="S18" s="179">
        <f>AU18-AN18</f>
        <v>63583</v>
      </c>
      <c r="T18" s="179">
        <f>Sovcombank!AO87</f>
        <v>63330</v>
      </c>
      <c r="U18" s="179">
        <f>AH18-T18</f>
        <v>66568</v>
      </c>
      <c r="V18" s="179">
        <f>AO18-AH18</f>
        <v>80607</v>
      </c>
      <c r="W18" s="179">
        <f>AV18-AO18</f>
        <v>104207</v>
      </c>
      <c r="X18" s="179">
        <f>Sovcombank!AS87</f>
        <v>123269</v>
      </c>
      <c r="Y18" s="179">
        <f>AI18-X18</f>
        <v>143842</v>
      </c>
      <c r="Z18" s="179">
        <f>AP18-AI18</f>
        <v>156907</v>
      </c>
      <c r="AA18" s="179">
        <f>AW18-AP18</f>
        <v>178464</v>
      </c>
      <c r="AB18" s="179">
        <f>Sovcombank!AW87</f>
        <v>183784</v>
      </c>
      <c r="AC18" s="179">
        <f>AJ18-AB18</f>
        <v>185400</v>
      </c>
      <c r="AD18" s="181"/>
      <c r="AE18" s="179">
        <f>Sovcombank!AD87</f>
        <v>64129</v>
      </c>
      <c r="AF18" s="179">
        <f>Sovcombank!AH87</f>
        <v>81153</v>
      </c>
      <c r="AG18" s="179">
        <f>Sovcombank!AL87</f>
        <v>121074</v>
      </c>
      <c r="AH18" s="179">
        <f>Sovcombank!AP87</f>
        <v>129898</v>
      </c>
      <c r="AI18" s="179">
        <f>Sovcombank!AT87</f>
        <v>267111</v>
      </c>
      <c r="AJ18" s="179">
        <f>Sovcombank!AX87</f>
        <v>369184</v>
      </c>
      <c r="AK18" s="181"/>
      <c r="AL18" s="179">
        <v>99566</v>
      </c>
      <c r="AM18" s="179">
        <f>Sovcombank!AI87</f>
        <v>129677</v>
      </c>
      <c r="AN18" s="179">
        <f>Sovcombank!AM87</f>
        <v>182492</v>
      </c>
      <c r="AO18" s="179">
        <f>Sovcombank!AQ87</f>
        <v>210505</v>
      </c>
      <c r="AP18" s="179">
        <f>Sovcombank!AU87</f>
        <v>424018</v>
      </c>
      <c r="AQ18" s="181"/>
      <c r="AR18" s="179">
        <f>Sovcombank!AB87</f>
        <v>102120</v>
      </c>
      <c r="AS18" s="179">
        <f>Sovcombank!AF87</f>
        <v>133118</v>
      </c>
      <c r="AT18" s="179">
        <f>Sovcombank!AJ87</f>
        <v>183094</v>
      </c>
      <c r="AU18" s="179">
        <f>Sovcombank!AN87</f>
        <v>246075</v>
      </c>
      <c r="AV18" s="179">
        <f>Sovcombank!AR87</f>
        <v>314712</v>
      </c>
      <c r="AW18" s="179">
        <f>Sovcombank!AV87</f>
        <v>602482</v>
      </c>
    </row>
    <row r="19" spans="1:49" x14ac:dyDescent="0.2">
      <c r="AD19" s="181"/>
      <c r="AK19" s="181"/>
      <c r="AQ19" s="181"/>
    </row>
    <row r="20" spans="1:49" x14ac:dyDescent="0.2">
      <c r="B20" s="197" t="s">
        <v>235</v>
      </c>
      <c r="C20" s="28"/>
      <c r="D20" s="28"/>
      <c r="E20" s="28"/>
      <c r="F20" s="28"/>
      <c r="G20" s="28"/>
      <c r="H20" s="28">
        <v>4637</v>
      </c>
      <c r="I20" s="28"/>
      <c r="J20" s="28"/>
      <c r="K20" s="28">
        <f>AS20-AL20</f>
        <v>4179</v>
      </c>
      <c r="L20" s="28">
        <v>5556</v>
      </c>
      <c r="M20" s="28">
        <f>AF20-L20</f>
        <v>5375</v>
      </c>
      <c r="N20" s="28">
        <f>AM20-AF20</f>
        <v>4053</v>
      </c>
      <c r="O20" s="28">
        <f>AT20-AM20</f>
        <v>6958</v>
      </c>
      <c r="P20" s="28">
        <v>6509</v>
      </c>
      <c r="Q20" s="28">
        <f>AG20-P20</f>
        <v>8839</v>
      </c>
      <c r="R20" s="28">
        <f>AN20-AG20</f>
        <v>7349</v>
      </c>
      <c r="S20" s="28">
        <f>AU20-AN20</f>
        <v>7636</v>
      </c>
      <c r="T20" s="28">
        <v>6747</v>
      </c>
      <c r="U20" s="28">
        <f>AH20-T20</f>
        <v>7928</v>
      </c>
      <c r="V20" s="28">
        <f>AO20-AH20</f>
        <v>7464</v>
      </c>
      <c r="W20" s="28">
        <f>AV20-AO20</f>
        <v>8244</v>
      </c>
      <c r="X20" s="28">
        <v>9870</v>
      </c>
      <c r="Y20" s="28">
        <f>AI20-X20</f>
        <v>21114</v>
      </c>
      <c r="Z20" s="28">
        <f>AP20-AI20</f>
        <v>21364</v>
      </c>
      <c r="AA20" s="28">
        <f>AW20-AP20</f>
        <v>21207</v>
      </c>
      <c r="AB20" s="28">
        <v>20195</v>
      </c>
      <c r="AC20" s="28">
        <f>AJ20-AB20</f>
        <v>17782</v>
      </c>
      <c r="AD20" s="181"/>
      <c r="AE20" s="28">
        <v>9114</v>
      </c>
      <c r="AF20" s="28">
        <v>10931</v>
      </c>
      <c r="AG20" s="28">
        <v>15348</v>
      </c>
      <c r="AH20" s="28">
        <v>14675</v>
      </c>
      <c r="AI20" s="28">
        <v>30984</v>
      </c>
      <c r="AJ20" s="28">
        <v>37977</v>
      </c>
      <c r="AK20" s="181"/>
      <c r="AL20" s="28">
        <v>13907</v>
      </c>
      <c r="AM20" s="28">
        <v>14984</v>
      </c>
      <c r="AN20" s="28">
        <v>22697</v>
      </c>
      <c r="AO20" s="28">
        <v>22139</v>
      </c>
      <c r="AP20" s="28">
        <v>52348</v>
      </c>
      <c r="AQ20" s="181"/>
      <c r="AR20" s="28">
        <v>14433</v>
      </c>
      <c r="AS20" s="28">
        <v>18086</v>
      </c>
      <c r="AT20" s="28">
        <v>21942</v>
      </c>
      <c r="AU20" s="28">
        <v>30333</v>
      </c>
      <c r="AV20" s="28">
        <v>30383</v>
      </c>
      <c r="AW20" s="28">
        <v>73555</v>
      </c>
    </row>
    <row r="21" spans="1:49" x14ac:dyDescent="0.2">
      <c r="B21" s="197" t="s">
        <v>236</v>
      </c>
      <c r="C21" s="28"/>
      <c r="D21" s="28"/>
      <c r="E21" s="28"/>
      <c r="F21" s="28"/>
      <c r="G21" s="28"/>
      <c r="H21" s="28">
        <v>2971</v>
      </c>
      <c r="I21" s="28"/>
      <c r="J21" s="28"/>
      <c r="K21" s="28">
        <f t="shared" ref="K21:K29" si="10">AS21-AL21</f>
        <v>4585</v>
      </c>
      <c r="L21" s="28">
        <v>4621</v>
      </c>
      <c r="M21" s="28">
        <f t="shared" ref="M21:M29" si="11">AF21-L21</f>
        <v>9657</v>
      </c>
      <c r="N21" s="28">
        <f t="shared" ref="N21:N29" si="12">AM21-AF21</f>
        <v>11893</v>
      </c>
      <c r="O21" s="28">
        <f t="shared" ref="O21:O29" si="13">AT21-AM21</f>
        <v>7375</v>
      </c>
      <c r="P21" s="28">
        <v>7340</v>
      </c>
      <c r="Q21" s="28">
        <f t="shared" ref="Q21:Q29" si="14">AG21-P21</f>
        <v>9005</v>
      </c>
      <c r="R21" s="28">
        <f t="shared" ref="R21:R29" si="15">AN21-AG21</f>
        <v>11898</v>
      </c>
      <c r="S21" s="28">
        <f t="shared" ref="S21:S23" si="16">AU21-AN21</f>
        <v>9793</v>
      </c>
      <c r="T21" s="28">
        <v>9600</v>
      </c>
      <c r="U21" s="28">
        <f t="shared" ref="U21:U29" si="17">AH21-T21</f>
        <v>9805</v>
      </c>
      <c r="V21" s="28">
        <f t="shared" ref="V21:V29" si="18">AO21-AH21</f>
        <v>10088</v>
      </c>
      <c r="W21" s="28">
        <f t="shared" ref="W21:W29" si="19">AV21-AO21</f>
        <v>10366</v>
      </c>
      <c r="X21" s="28">
        <v>10717</v>
      </c>
      <c r="Y21" s="28">
        <f t="shared" ref="Y21:Y23" si="20">AI21-X21</f>
        <v>12618</v>
      </c>
      <c r="Z21" s="28">
        <f t="shared" ref="Z21:Z29" si="21">AP21-AI21</f>
        <v>12998</v>
      </c>
      <c r="AA21" s="28">
        <f t="shared" ref="AA21:AA29" si="22">AW21-AP21</f>
        <v>14483</v>
      </c>
      <c r="AB21" s="28">
        <v>13570</v>
      </c>
      <c r="AC21" s="28">
        <f t="shared" ref="AC21:AC23" si="23">AJ21-AB21</f>
        <v>14066</v>
      </c>
      <c r="AD21" s="181"/>
      <c r="AE21" s="28">
        <v>6513</v>
      </c>
      <c r="AF21" s="28">
        <v>14278</v>
      </c>
      <c r="AG21" s="28">
        <v>16345</v>
      </c>
      <c r="AH21" s="28">
        <v>19405</v>
      </c>
      <c r="AI21" s="28">
        <v>23335</v>
      </c>
      <c r="AJ21" s="28">
        <v>27636</v>
      </c>
      <c r="AK21" s="181"/>
      <c r="AL21" s="28">
        <v>11138</v>
      </c>
      <c r="AM21" s="28">
        <v>26171</v>
      </c>
      <c r="AN21" s="28">
        <v>28243</v>
      </c>
      <c r="AO21" s="28">
        <v>29493</v>
      </c>
      <c r="AP21" s="28">
        <v>36333</v>
      </c>
      <c r="AQ21" s="181"/>
      <c r="AR21" s="28">
        <v>6022</v>
      </c>
      <c r="AS21" s="28">
        <v>15723</v>
      </c>
      <c r="AT21" s="28">
        <v>33546</v>
      </c>
      <c r="AU21" s="28">
        <v>38036</v>
      </c>
      <c r="AV21" s="28">
        <v>39859</v>
      </c>
      <c r="AW21" s="28">
        <v>50816</v>
      </c>
    </row>
    <row r="22" spans="1:49" x14ac:dyDescent="0.2">
      <c r="B22" s="197" t="s">
        <v>243</v>
      </c>
      <c r="C22" s="28"/>
      <c r="D22" s="28"/>
      <c r="E22" s="28"/>
      <c r="F22" s="28"/>
      <c r="G22" s="28"/>
      <c r="H22" s="28">
        <v>3901</v>
      </c>
      <c r="I22" s="28"/>
      <c r="J22" s="28"/>
      <c r="K22" s="28">
        <f t="shared" si="10"/>
        <v>4005</v>
      </c>
      <c r="L22" s="28">
        <v>3701</v>
      </c>
      <c r="M22" s="28">
        <f t="shared" si="11"/>
        <v>4351</v>
      </c>
      <c r="N22" s="28">
        <f t="shared" si="12"/>
        <v>3807</v>
      </c>
      <c r="O22" s="28">
        <f t="shared" si="13"/>
        <v>4026</v>
      </c>
      <c r="P22" s="28">
        <v>5022</v>
      </c>
      <c r="Q22" s="28">
        <f t="shared" si="14"/>
        <v>3581</v>
      </c>
      <c r="R22" s="28">
        <f t="shared" si="15"/>
        <v>5568</v>
      </c>
      <c r="S22" s="28">
        <f t="shared" si="16"/>
        <v>5663</v>
      </c>
      <c r="T22" s="28">
        <v>7210</v>
      </c>
      <c r="U22" s="28">
        <f t="shared" si="17"/>
        <v>7214</v>
      </c>
      <c r="V22" s="28">
        <f t="shared" si="18"/>
        <v>8389</v>
      </c>
      <c r="W22" s="28">
        <f t="shared" si="19"/>
        <v>8679</v>
      </c>
      <c r="X22" s="28">
        <v>12128</v>
      </c>
      <c r="Y22" s="28">
        <f t="shared" si="20"/>
        <v>13088</v>
      </c>
      <c r="Z22" s="28">
        <f t="shared" si="21"/>
        <v>17370</v>
      </c>
      <c r="AA22" s="28">
        <f t="shared" si="22"/>
        <v>25601</v>
      </c>
      <c r="AB22" s="28">
        <v>25521</v>
      </c>
      <c r="AC22" s="28">
        <f t="shared" si="23"/>
        <v>26692</v>
      </c>
      <c r="AD22" s="181"/>
      <c r="AE22" s="28">
        <v>7474</v>
      </c>
      <c r="AF22" s="28">
        <v>8052</v>
      </c>
      <c r="AG22" s="28">
        <v>8603</v>
      </c>
      <c r="AH22" s="28">
        <v>14424</v>
      </c>
      <c r="AI22" s="28">
        <v>25216</v>
      </c>
      <c r="AJ22" s="28">
        <v>52213</v>
      </c>
      <c r="AK22" s="181"/>
      <c r="AL22" s="28">
        <v>11203</v>
      </c>
      <c r="AM22" s="28">
        <v>11859</v>
      </c>
      <c r="AN22" s="28">
        <v>14171</v>
      </c>
      <c r="AO22" s="28">
        <v>22813</v>
      </c>
      <c r="AP22" s="28">
        <v>42586</v>
      </c>
      <c r="AQ22" s="181"/>
      <c r="AR22" s="28">
        <v>13140</v>
      </c>
      <c r="AS22" s="28">
        <v>15208</v>
      </c>
      <c r="AT22" s="28">
        <v>15885</v>
      </c>
      <c r="AU22" s="28">
        <v>19834</v>
      </c>
      <c r="AV22" s="28">
        <v>31492</v>
      </c>
      <c r="AW22" s="28">
        <v>68187</v>
      </c>
    </row>
    <row r="23" spans="1:49" x14ac:dyDescent="0.2">
      <c r="B23" s="197" t="s">
        <v>42</v>
      </c>
      <c r="C23" s="28"/>
      <c r="D23" s="28"/>
      <c r="E23" s="28"/>
      <c r="F23" s="28"/>
      <c r="G23" s="28"/>
      <c r="H23" s="28">
        <v>2489</v>
      </c>
      <c r="I23" s="28"/>
      <c r="J23" s="28"/>
      <c r="K23" s="28">
        <f t="shared" si="10"/>
        <v>2733</v>
      </c>
      <c r="L23" s="28">
        <v>2707</v>
      </c>
      <c r="M23" s="28">
        <f t="shared" si="11"/>
        <v>2296</v>
      </c>
      <c r="N23" s="28">
        <f t="shared" si="12"/>
        <v>6406</v>
      </c>
      <c r="O23" s="28">
        <f t="shared" si="13"/>
        <v>4815</v>
      </c>
      <c r="P23" s="28">
        <v>5246</v>
      </c>
      <c r="Q23" s="28">
        <f t="shared" si="14"/>
        <v>5677</v>
      </c>
      <c r="R23" s="28">
        <f t="shared" si="15"/>
        <v>5400</v>
      </c>
      <c r="S23" s="28">
        <f t="shared" si="16"/>
        <v>6152</v>
      </c>
      <c r="T23" s="28">
        <v>5824</v>
      </c>
      <c r="U23" s="28">
        <f t="shared" si="17"/>
        <v>6215</v>
      </c>
      <c r="V23" s="28">
        <f t="shared" si="18"/>
        <v>6896</v>
      </c>
      <c r="W23" s="28">
        <f t="shared" si="19"/>
        <v>8810</v>
      </c>
      <c r="X23" s="28">
        <v>9719</v>
      </c>
      <c r="Y23" s="28">
        <f t="shared" si="20"/>
        <v>10469</v>
      </c>
      <c r="Z23" s="28">
        <f t="shared" si="21"/>
        <v>12252</v>
      </c>
      <c r="AA23" s="28">
        <f t="shared" si="22"/>
        <v>14779</v>
      </c>
      <c r="AB23" s="28">
        <v>15341</v>
      </c>
      <c r="AC23" s="28">
        <f t="shared" si="23"/>
        <v>16477</v>
      </c>
      <c r="AD23" s="181"/>
      <c r="AE23" s="28">
        <v>6872</v>
      </c>
      <c r="AF23" s="28">
        <v>5003</v>
      </c>
      <c r="AG23" s="28">
        <v>10923</v>
      </c>
      <c r="AH23" s="28">
        <v>12039</v>
      </c>
      <c r="AI23" s="28">
        <v>20188</v>
      </c>
      <c r="AJ23" s="28">
        <v>31818</v>
      </c>
      <c r="AK23" s="181"/>
      <c r="AL23" s="28">
        <v>7480</v>
      </c>
      <c r="AM23" s="28">
        <v>11409</v>
      </c>
      <c r="AN23" s="28">
        <v>16323</v>
      </c>
      <c r="AO23" s="28">
        <v>18935</v>
      </c>
      <c r="AP23" s="28">
        <v>32440</v>
      </c>
      <c r="AQ23" s="181"/>
      <c r="AR23" s="28">
        <v>9333</v>
      </c>
      <c r="AS23" s="28">
        <v>10213</v>
      </c>
      <c r="AT23" s="28">
        <v>16224</v>
      </c>
      <c r="AU23" s="28">
        <v>22475</v>
      </c>
      <c r="AV23" s="28">
        <v>27745</v>
      </c>
      <c r="AW23" s="28">
        <v>47219</v>
      </c>
    </row>
    <row r="24" spans="1:49" x14ac:dyDescent="0.2">
      <c r="B24" s="201" t="s">
        <v>104</v>
      </c>
      <c r="C24" s="209"/>
      <c r="D24" s="209"/>
      <c r="E24" s="209"/>
      <c r="F24" s="209"/>
      <c r="G24" s="209"/>
      <c r="H24" s="209">
        <f>SUM(H20:H23)</f>
        <v>13998</v>
      </c>
      <c r="I24" s="209"/>
      <c r="J24" s="209"/>
      <c r="K24" s="209">
        <f>SUM(K20:K23)</f>
        <v>15502</v>
      </c>
      <c r="L24" s="209">
        <f t="shared" ref="L24:W24" si="24">SUM(L20:L23)</f>
        <v>16585</v>
      </c>
      <c r="M24" s="209">
        <f t="shared" si="24"/>
        <v>21679</v>
      </c>
      <c r="N24" s="209">
        <f t="shared" si="24"/>
        <v>26159</v>
      </c>
      <c r="O24" s="209">
        <f t="shared" si="24"/>
        <v>23174</v>
      </c>
      <c r="P24" s="209">
        <f t="shared" si="24"/>
        <v>24117</v>
      </c>
      <c r="Q24" s="209">
        <f t="shared" si="24"/>
        <v>27102</v>
      </c>
      <c r="R24" s="209">
        <f t="shared" si="24"/>
        <v>30215</v>
      </c>
      <c r="S24" s="209">
        <f t="shared" si="24"/>
        <v>29244</v>
      </c>
      <c r="T24" s="209">
        <f t="shared" si="24"/>
        <v>29381</v>
      </c>
      <c r="U24" s="209">
        <f t="shared" si="24"/>
        <v>31162</v>
      </c>
      <c r="V24" s="209">
        <f t="shared" si="24"/>
        <v>32837</v>
      </c>
      <c r="W24" s="209">
        <f t="shared" si="24"/>
        <v>36099</v>
      </c>
      <c r="X24" s="209">
        <f>SUM(X20:X23)</f>
        <v>42434</v>
      </c>
      <c r="Y24" s="209">
        <f>SUM(Y20:Y23)</f>
        <v>57289</v>
      </c>
      <c r="Z24" s="209">
        <f>AP24-AI24</f>
        <v>63984</v>
      </c>
      <c r="AA24" s="209">
        <f t="shared" si="22"/>
        <v>76070</v>
      </c>
      <c r="AB24" s="209">
        <f>SUM(AB20:AB23)</f>
        <v>74627</v>
      </c>
      <c r="AC24" s="209">
        <f>SUM(AC20:AC23)</f>
        <v>75017</v>
      </c>
      <c r="AD24" s="181"/>
      <c r="AE24" s="209">
        <f t="shared" ref="AE24:AJ24" si="25">SUM(AE20:AE23)</f>
        <v>29973</v>
      </c>
      <c r="AF24" s="209">
        <f t="shared" si="25"/>
        <v>38264</v>
      </c>
      <c r="AG24" s="209">
        <f t="shared" si="25"/>
        <v>51219</v>
      </c>
      <c r="AH24" s="209">
        <f t="shared" si="25"/>
        <v>60543</v>
      </c>
      <c r="AI24" s="209">
        <f t="shared" si="25"/>
        <v>99723</v>
      </c>
      <c r="AJ24" s="209">
        <f t="shared" si="25"/>
        <v>149644</v>
      </c>
      <c r="AK24" s="181"/>
      <c r="AL24" s="209">
        <f>SUM(AL20:AL23)</f>
        <v>43728</v>
      </c>
      <c r="AM24" s="209">
        <f>SUM(AM20:AM23)</f>
        <v>64423</v>
      </c>
      <c r="AN24" s="209">
        <f>SUM(AN20:AN23)</f>
        <v>81434</v>
      </c>
      <c r="AO24" s="209">
        <f>SUM(AO20:AO23)</f>
        <v>93380</v>
      </c>
      <c r="AP24" s="209">
        <f>SUM(AP20:AP23)</f>
        <v>163707</v>
      </c>
      <c r="AQ24" s="181"/>
      <c r="AR24" s="209">
        <f t="shared" ref="AR24:AW24" si="26">SUM(AR20:AR23)</f>
        <v>42928</v>
      </c>
      <c r="AS24" s="209">
        <f t="shared" si="26"/>
        <v>59230</v>
      </c>
      <c r="AT24" s="209">
        <f t="shared" si="26"/>
        <v>87597</v>
      </c>
      <c r="AU24" s="209">
        <f t="shared" si="26"/>
        <v>110678</v>
      </c>
      <c r="AV24" s="209">
        <f t="shared" si="26"/>
        <v>129479</v>
      </c>
      <c r="AW24" s="209">
        <f t="shared" si="26"/>
        <v>239777</v>
      </c>
    </row>
    <row r="25" spans="1:49" x14ac:dyDescent="0.2">
      <c r="B25" s="204" t="s">
        <v>207</v>
      </c>
      <c r="C25" s="221"/>
      <c r="D25" s="221"/>
      <c r="E25" s="221"/>
      <c r="F25" s="221"/>
      <c r="G25" s="221"/>
      <c r="H25" s="221">
        <f t="shared" ref="H25" si="27">SUM(H22:H23)</f>
        <v>6390</v>
      </c>
      <c r="I25" s="221"/>
      <c r="J25" s="221"/>
      <c r="K25" s="221">
        <f t="shared" ref="K25:X25" si="28">SUM(K22:K23)</f>
        <v>6738</v>
      </c>
      <c r="L25" s="221">
        <f t="shared" si="28"/>
        <v>6408</v>
      </c>
      <c r="M25" s="221">
        <f t="shared" si="28"/>
        <v>6647</v>
      </c>
      <c r="N25" s="221">
        <f t="shared" si="28"/>
        <v>10213</v>
      </c>
      <c r="O25" s="221">
        <f t="shared" si="28"/>
        <v>8841</v>
      </c>
      <c r="P25" s="221">
        <f>SUM(P22:P23)</f>
        <v>10268</v>
      </c>
      <c r="Q25" s="221">
        <f t="shared" si="28"/>
        <v>9258</v>
      </c>
      <c r="R25" s="221">
        <f t="shared" si="28"/>
        <v>10968</v>
      </c>
      <c r="S25" s="221">
        <f t="shared" si="28"/>
        <v>11815</v>
      </c>
      <c r="T25" s="221">
        <f t="shared" si="28"/>
        <v>13034</v>
      </c>
      <c r="U25" s="221">
        <f t="shared" si="28"/>
        <v>13429</v>
      </c>
      <c r="V25" s="221">
        <f t="shared" si="28"/>
        <v>15285</v>
      </c>
      <c r="W25" s="221">
        <f t="shared" si="28"/>
        <v>17489</v>
      </c>
      <c r="X25" s="221">
        <f t="shared" si="28"/>
        <v>21847</v>
      </c>
      <c r="Y25" s="221">
        <f>SUM(Y22:Y23)</f>
        <v>23557</v>
      </c>
      <c r="Z25" s="221">
        <f t="shared" si="21"/>
        <v>29622</v>
      </c>
      <c r="AA25" s="221">
        <f t="shared" si="22"/>
        <v>40380</v>
      </c>
      <c r="AB25" s="221">
        <f t="shared" ref="AB25:AC25" si="29">SUM(AB22:AB23)</f>
        <v>40862</v>
      </c>
      <c r="AC25" s="221">
        <f t="shared" si="29"/>
        <v>43169</v>
      </c>
      <c r="AD25" s="181"/>
      <c r="AE25" s="221">
        <f t="shared" ref="AE25:AJ25" si="30">SUM(AE22:AE23)</f>
        <v>14346</v>
      </c>
      <c r="AF25" s="221">
        <f t="shared" si="30"/>
        <v>13055</v>
      </c>
      <c r="AG25" s="221">
        <f t="shared" si="30"/>
        <v>19526</v>
      </c>
      <c r="AH25" s="221">
        <f t="shared" si="30"/>
        <v>26463</v>
      </c>
      <c r="AI25" s="221">
        <f t="shared" si="30"/>
        <v>45404</v>
      </c>
      <c r="AJ25" s="221">
        <f t="shared" si="30"/>
        <v>84031</v>
      </c>
      <c r="AK25" s="181"/>
      <c r="AL25" s="221">
        <f>SUM(AL22:AL23)</f>
        <v>18683</v>
      </c>
      <c r="AM25" s="221">
        <f>SUM(AM22:AM23)</f>
        <v>23268</v>
      </c>
      <c r="AN25" s="221">
        <f>SUM(AN22:AN23)</f>
        <v>30494</v>
      </c>
      <c r="AO25" s="221">
        <f>SUM(AO22:AO23)</f>
        <v>41748</v>
      </c>
      <c r="AP25" s="221">
        <f>SUM(AP22:AP23)</f>
        <v>75026</v>
      </c>
      <c r="AQ25" s="181"/>
      <c r="AR25" s="221">
        <f t="shared" ref="AR25:AW25" si="31">SUM(AR22:AR23)</f>
        <v>22473</v>
      </c>
      <c r="AS25" s="221">
        <f t="shared" si="31"/>
        <v>25421</v>
      </c>
      <c r="AT25" s="221">
        <f t="shared" si="31"/>
        <v>32109</v>
      </c>
      <c r="AU25" s="221">
        <f t="shared" si="31"/>
        <v>42309</v>
      </c>
      <c r="AV25" s="221">
        <f t="shared" si="31"/>
        <v>59237</v>
      </c>
      <c r="AW25" s="221">
        <f t="shared" si="31"/>
        <v>115406</v>
      </c>
    </row>
    <row r="26" spans="1:49" x14ac:dyDescent="0.2">
      <c r="B26" s="204" t="s">
        <v>208</v>
      </c>
      <c r="C26" s="221"/>
      <c r="D26" s="221"/>
      <c r="E26" s="221"/>
      <c r="F26" s="221"/>
      <c r="G26" s="221"/>
      <c r="H26" s="221">
        <f>SUM(H20:H21)</f>
        <v>7608</v>
      </c>
      <c r="I26" s="221"/>
      <c r="J26" s="221"/>
      <c r="K26" s="221">
        <f>SUM(K20:K21)</f>
        <v>8764</v>
      </c>
      <c r="L26" s="221">
        <f t="shared" ref="L26:Y26" si="32">SUM(L20:L21)</f>
        <v>10177</v>
      </c>
      <c r="M26" s="221">
        <f t="shared" si="32"/>
        <v>15032</v>
      </c>
      <c r="N26" s="221">
        <f t="shared" si="32"/>
        <v>15946</v>
      </c>
      <c r="O26" s="221">
        <f t="shared" si="32"/>
        <v>14333</v>
      </c>
      <c r="P26" s="221">
        <f>SUM(P20:P21)</f>
        <v>13849</v>
      </c>
      <c r="Q26" s="221">
        <f t="shared" si="32"/>
        <v>17844</v>
      </c>
      <c r="R26" s="221">
        <f t="shared" si="32"/>
        <v>19247</v>
      </c>
      <c r="S26" s="221">
        <f t="shared" si="32"/>
        <v>17429</v>
      </c>
      <c r="T26" s="221">
        <f t="shared" si="32"/>
        <v>16347</v>
      </c>
      <c r="U26" s="221">
        <f t="shared" si="32"/>
        <v>17733</v>
      </c>
      <c r="V26" s="221">
        <f t="shared" si="32"/>
        <v>17552</v>
      </c>
      <c r="W26" s="221">
        <f t="shared" si="32"/>
        <v>18610</v>
      </c>
      <c r="X26" s="221">
        <f t="shared" si="32"/>
        <v>20587</v>
      </c>
      <c r="Y26" s="221">
        <f t="shared" si="32"/>
        <v>33732</v>
      </c>
      <c r="Z26" s="221">
        <f t="shared" si="21"/>
        <v>34362</v>
      </c>
      <c r="AA26" s="221">
        <f t="shared" si="22"/>
        <v>35690</v>
      </c>
      <c r="AB26" s="221">
        <f t="shared" ref="AB26:AC26" si="33">SUM(AB20:AB21)</f>
        <v>33765</v>
      </c>
      <c r="AC26" s="221">
        <f t="shared" si="33"/>
        <v>31848</v>
      </c>
      <c r="AD26" s="181"/>
      <c r="AE26" s="221">
        <f t="shared" ref="AE26:AJ26" si="34">SUM(AE20:AE21)</f>
        <v>15627</v>
      </c>
      <c r="AF26" s="221">
        <f t="shared" si="34"/>
        <v>25209</v>
      </c>
      <c r="AG26" s="221">
        <f t="shared" si="34"/>
        <v>31693</v>
      </c>
      <c r="AH26" s="221">
        <f t="shared" si="34"/>
        <v>34080</v>
      </c>
      <c r="AI26" s="221">
        <f t="shared" si="34"/>
        <v>54319</v>
      </c>
      <c r="AJ26" s="221">
        <f t="shared" si="34"/>
        <v>65613</v>
      </c>
      <c r="AK26" s="181"/>
      <c r="AL26" s="221">
        <f>SUM(AL20:AL21)</f>
        <v>25045</v>
      </c>
      <c r="AM26" s="221">
        <f>SUM(AM20:AM21)</f>
        <v>41155</v>
      </c>
      <c r="AN26" s="221">
        <f>SUM(AN20:AN21)</f>
        <v>50940</v>
      </c>
      <c r="AO26" s="221">
        <f>SUM(AO20:AO21)</f>
        <v>51632</v>
      </c>
      <c r="AP26" s="221">
        <f>SUM(AP20:AP21)</f>
        <v>88681</v>
      </c>
      <c r="AQ26" s="181"/>
      <c r="AR26" s="221">
        <f t="shared" ref="AR26:AW26" si="35">SUM(AR20:AR21)</f>
        <v>20455</v>
      </c>
      <c r="AS26" s="221">
        <f t="shared" si="35"/>
        <v>33809</v>
      </c>
      <c r="AT26" s="221">
        <f t="shared" si="35"/>
        <v>55488</v>
      </c>
      <c r="AU26" s="221">
        <f t="shared" si="35"/>
        <v>68369</v>
      </c>
      <c r="AV26" s="221">
        <f t="shared" si="35"/>
        <v>70242</v>
      </c>
      <c r="AW26" s="221">
        <f t="shared" si="35"/>
        <v>124371</v>
      </c>
    </row>
    <row r="27" spans="1:49" x14ac:dyDescent="0.2">
      <c r="AD27" s="181"/>
      <c r="AK27" s="181"/>
      <c r="AQ27" s="181"/>
    </row>
    <row r="28" spans="1:49" x14ac:dyDescent="0.2">
      <c r="B28" s="201" t="s">
        <v>43</v>
      </c>
      <c r="H28" s="209">
        <v>5246</v>
      </c>
      <c r="K28" s="209">
        <f t="shared" si="10"/>
        <v>6552</v>
      </c>
      <c r="L28" s="209">
        <v>6802</v>
      </c>
      <c r="M28" s="209">
        <f t="shared" si="11"/>
        <v>9087</v>
      </c>
      <c r="N28" s="209">
        <f t="shared" si="12"/>
        <v>12617</v>
      </c>
      <c r="O28" s="209">
        <f t="shared" si="13"/>
        <v>17296</v>
      </c>
      <c r="P28" s="209">
        <v>19953</v>
      </c>
      <c r="Q28" s="209">
        <f t="shared" si="14"/>
        <v>22752</v>
      </c>
      <c r="R28" s="209">
        <f t="shared" si="15"/>
        <v>20685</v>
      </c>
      <c r="S28" s="209">
        <f>AU28-AN28</f>
        <v>23505</v>
      </c>
      <c r="T28" s="209">
        <v>21803</v>
      </c>
      <c r="U28" s="209">
        <f t="shared" si="17"/>
        <v>22629</v>
      </c>
      <c r="V28" s="209">
        <f t="shared" si="18"/>
        <v>28364</v>
      </c>
      <c r="W28" s="209">
        <f t="shared" si="19"/>
        <v>40590</v>
      </c>
      <c r="X28" s="209">
        <v>45505</v>
      </c>
      <c r="Y28" s="209">
        <f>AI28-X28</f>
        <v>48580</v>
      </c>
      <c r="Z28" s="209">
        <f t="shared" si="21"/>
        <v>56677</v>
      </c>
      <c r="AA28" s="209">
        <f t="shared" si="22"/>
        <v>65590</v>
      </c>
      <c r="AB28" s="209">
        <v>69233</v>
      </c>
      <c r="AC28" s="209">
        <f>AJ28-AB28</f>
        <v>70375</v>
      </c>
      <c r="AD28" s="181"/>
      <c r="AE28" s="209">
        <v>11339</v>
      </c>
      <c r="AF28" s="209">
        <v>15889</v>
      </c>
      <c r="AG28" s="209">
        <v>42705</v>
      </c>
      <c r="AH28" s="209">
        <v>44432</v>
      </c>
      <c r="AI28" s="209">
        <v>94085</v>
      </c>
      <c r="AJ28" s="209">
        <v>139608</v>
      </c>
      <c r="AK28" s="181"/>
      <c r="AL28" s="209">
        <v>17326</v>
      </c>
      <c r="AM28" s="209">
        <v>28506</v>
      </c>
      <c r="AN28" s="209">
        <v>63390</v>
      </c>
      <c r="AO28" s="209">
        <v>72796</v>
      </c>
      <c r="AP28" s="209">
        <v>150762</v>
      </c>
      <c r="AQ28" s="181"/>
      <c r="AR28" s="209">
        <v>20792</v>
      </c>
      <c r="AS28" s="209">
        <v>23878</v>
      </c>
      <c r="AT28" s="209">
        <v>45802</v>
      </c>
      <c r="AU28" s="209">
        <v>86895</v>
      </c>
      <c r="AV28" s="209">
        <v>113386</v>
      </c>
      <c r="AW28" s="209">
        <v>216352</v>
      </c>
    </row>
    <row r="29" spans="1:49" x14ac:dyDescent="0.2">
      <c r="B29" s="201" t="s">
        <v>384</v>
      </c>
      <c r="H29" s="209">
        <v>7816</v>
      </c>
      <c r="K29" s="209">
        <f t="shared" si="10"/>
        <v>7785</v>
      </c>
      <c r="L29" s="209">
        <v>9329</v>
      </c>
      <c r="M29" s="209">
        <f t="shared" si="11"/>
        <v>8043</v>
      </c>
      <c r="N29" s="209">
        <f t="shared" si="12"/>
        <v>13189</v>
      </c>
      <c r="O29" s="209">
        <f t="shared" si="13"/>
        <v>17560</v>
      </c>
      <c r="P29" s="209">
        <v>20209</v>
      </c>
      <c r="Q29" s="209">
        <f t="shared" si="14"/>
        <v>23324</v>
      </c>
      <c r="R29" s="209">
        <f t="shared" si="15"/>
        <v>20872</v>
      </c>
      <c r="S29" s="209">
        <f>AU29-AN29</f>
        <v>23750</v>
      </c>
      <c r="T29" s="209">
        <v>21945</v>
      </c>
      <c r="U29" s="209">
        <f t="shared" si="17"/>
        <v>22686</v>
      </c>
      <c r="V29" s="209">
        <f t="shared" si="18"/>
        <v>28552</v>
      </c>
      <c r="W29" s="209">
        <f t="shared" si="19"/>
        <v>40495</v>
      </c>
      <c r="X29" s="209">
        <v>45543</v>
      </c>
      <c r="Y29" s="209">
        <f t="shared" ref="Y29" si="36">AI29-X29</f>
        <v>48618</v>
      </c>
      <c r="Z29" s="209">
        <f t="shared" si="21"/>
        <v>56715</v>
      </c>
      <c r="AA29" s="209">
        <f t="shared" si="22"/>
        <v>65606</v>
      </c>
      <c r="AB29" s="209">
        <v>69253</v>
      </c>
      <c r="AC29" s="209">
        <f>AJ29-AB29</f>
        <v>70396</v>
      </c>
      <c r="AD29" s="181"/>
      <c r="AE29" s="209">
        <v>15012</v>
      </c>
      <c r="AF29" s="209">
        <v>17372</v>
      </c>
      <c r="AG29" s="209">
        <v>43533</v>
      </c>
      <c r="AH29" s="209">
        <v>44631</v>
      </c>
      <c r="AI29" s="209">
        <v>94161</v>
      </c>
      <c r="AJ29" s="209">
        <v>139649</v>
      </c>
      <c r="AK29" s="181"/>
      <c r="AL29" s="209">
        <v>22950</v>
      </c>
      <c r="AM29" s="209">
        <v>30561</v>
      </c>
      <c r="AN29" s="209">
        <v>64405</v>
      </c>
      <c r="AO29" s="209">
        <v>73183</v>
      </c>
      <c r="AP29" s="209">
        <v>150876</v>
      </c>
      <c r="AQ29" s="181"/>
      <c r="AR29" s="209">
        <v>29354</v>
      </c>
      <c r="AS29" s="209">
        <v>30735</v>
      </c>
      <c r="AT29" s="209">
        <v>48121</v>
      </c>
      <c r="AU29" s="209">
        <v>88155</v>
      </c>
      <c r="AV29" s="209">
        <v>113678</v>
      </c>
      <c r="AW29" s="209">
        <v>216482</v>
      </c>
    </row>
    <row r="30" spans="1:49" x14ac:dyDescent="0.2">
      <c r="AD30" s="181"/>
      <c r="AK30" s="181"/>
      <c r="AQ30" s="181"/>
    </row>
    <row r="31" spans="1:49" x14ac:dyDescent="0.2">
      <c r="A31" s="167"/>
      <c r="B31" s="176" t="s">
        <v>487</v>
      </c>
      <c r="C31" s="219"/>
      <c r="D31" s="219"/>
      <c r="E31" s="219"/>
      <c r="F31" s="219"/>
      <c r="G31" s="219"/>
      <c r="H31" s="241"/>
      <c r="I31" s="219"/>
      <c r="J31" s="219"/>
      <c r="K31" s="241"/>
      <c r="L31" s="241"/>
      <c r="M31" s="241"/>
      <c r="N31" s="241"/>
      <c r="O31" s="241"/>
      <c r="P31" s="241"/>
      <c r="Q31" s="241"/>
      <c r="R31" s="241"/>
      <c r="S31" s="177"/>
      <c r="T31" s="177"/>
      <c r="U31" s="177"/>
      <c r="V31" s="177"/>
      <c r="W31" s="177"/>
      <c r="X31" s="177">
        <f t="shared" ref="X31:AC31" si="37">(X18+X36)*X4/AVERAGE(W42:X42)</f>
        <v>0.19912289362418686</v>
      </c>
      <c r="Y31" s="177">
        <f t="shared" si="37"/>
        <v>0.21731825555313988</v>
      </c>
      <c r="Z31" s="177">
        <f t="shared" si="37"/>
        <v>0.23260070720840431</v>
      </c>
      <c r="AA31" s="177">
        <f t="shared" si="37"/>
        <v>0.23780121215292119</v>
      </c>
      <c r="AB31" s="177">
        <f t="shared" si="37"/>
        <v>0.24109168227788569</v>
      </c>
      <c r="AC31" s="177">
        <f t="shared" si="37"/>
        <v>0.24700851148833863</v>
      </c>
      <c r="AD31" s="318"/>
      <c r="AE31" s="177"/>
      <c r="AF31" s="177"/>
      <c r="AG31" s="177"/>
      <c r="AH31" s="177"/>
      <c r="AI31" s="177">
        <f>(AI18+AI36)*AI4/AVERAGE(W42:Y42)</f>
        <v>0.21015330107190885</v>
      </c>
      <c r="AJ31" s="177">
        <f>(AJ18+AJ36)*AJ4/AVERAGE(AA42:AC42)</f>
        <v>0.24306891666669225</v>
      </c>
      <c r="AK31" s="318"/>
      <c r="AL31" s="177"/>
      <c r="AM31" s="177"/>
      <c r="AN31" s="177"/>
      <c r="AO31" s="177">
        <f>(AO18+AO36)*AO4/AVERAGE(S42:V42)</f>
        <v>0.15238742030915559</v>
      </c>
      <c r="AP31" s="177">
        <f>(AP18+AP36)*AP4/AVERAGE(W42:Z42)</f>
        <v>0.21858728556774643</v>
      </c>
      <c r="AQ31" s="318"/>
      <c r="AR31" s="177"/>
      <c r="AS31" s="177"/>
      <c r="AT31" s="177"/>
      <c r="AU31" s="177"/>
      <c r="AV31" s="177">
        <f>(AV18+AV36)/AVERAGE(S42:W42)</f>
        <v>0.16238519095071086</v>
      </c>
      <c r="AW31" s="177">
        <f>(AW18+AW36)/AVERAGE(W42:AA42)</f>
        <v>0.22328628499869477</v>
      </c>
    </row>
    <row r="32" spans="1:49" x14ac:dyDescent="0.2">
      <c r="B32" s="220"/>
      <c r="AD32" s="181"/>
      <c r="AK32" s="181"/>
      <c r="AQ32" s="181"/>
    </row>
    <row r="33" spans="2:49" x14ac:dyDescent="0.2">
      <c r="B33" s="197" t="s">
        <v>319</v>
      </c>
      <c r="X33" s="135">
        <f>(X38+X24)*X4/AVERAGE(W48:X48)</f>
        <v>0.17758845644090784</v>
      </c>
      <c r="Y33" s="135">
        <f>(Y38+Y24)*Y4/AVERAGE(X48:Y48)</f>
        <v>0.21480146460323149</v>
      </c>
      <c r="Z33" s="135">
        <f t="shared" ref="Z33:AA33" si="38">(Z38+Z24)*Z4/AVERAGE(Y48:Z48)</f>
        <v>0.23215689328326791</v>
      </c>
      <c r="AA33" s="135">
        <f t="shared" si="38"/>
        <v>0.22567308202914602</v>
      </c>
      <c r="AB33" s="135">
        <f>(AB38+AB24)*AB4/AVERAGE(AA48:AB48)</f>
        <v>0.22475794486244935</v>
      </c>
      <c r="AC33" s="135">
        <f>(AC38+AC24)*AC4/AVERAGE(AB48:AC48)</f>
        <v>0.22354858408582567</v>
      </c>
      <c r="AD33" s="181"/>
      <c r="AI33" s="135">
        <f>(AI38+AI24)*AI4/AVERAGE(W48:Y48)</f>
        <v>0.2006065527436193</v>
      </c>
      <c r="AJ33" s="135">
        <f>(AJ38+AJ24)*AJ4/AVERAGE(AA48:AC48)</f>
        <v>0.22426095424698261</v>
      </c>
      <c r="AK33" s="318"/>
      <c r="AO33" s="135">
        <f>(AO38+AO24)*AO4/AVERAGE(S48:V48)</f>
        <v>0.19360156401835288</v>
      </c>
      <c r="AP33" s="135">
        <f>(AP38+AP24)*AP4/AVERAGE(W48:Z48)</f>
        <v>0.21296819310924359</v>
      </c>
      <c r="AQ33" s="181"/>
      <c r="AV33" s="135">
        <f>(AV38+AV24)*$AR$4/AVERAGE(S48:W48)</f>
        <v>0.19069087853453395</v>
      </c>
      <c r="AW33" s="135">
        <f>(AW38+AW24)*$AR$4/AVERAGE(W48:AA48)</f>
        <v>0.21734972900656355</v>
      </c>
    </row>
    <row r="34" spans="2:49" x14ac:dyDescent="0.2">
      <c r="B34" s="197" t="s">
        <v>361</v>
      </c>
      <c r="X34" s="135">
        <f>(X39+X28)*X4/AVERAGE(W52:X52)</f>
        <v>0.17748767704367113</v>
      </c>
      <c r="Y34" s="135">
        <f t="shared" ref="Y34:AA34" si="39">(Y39+Y28)*Y4/AVERAGE(X52:Y52)</f>
        <v>0.18293600595643977</v>
      </c>
      <c r="Z34" s="135">
        <f t="shared" si="39"/>
        <v>0.20294617411100013</v>
      </c>
      <c r="AA34" s="135">
        <f t="shared" si="39"/>
        <v>0.22541416100447345</v>
      </c>
      <c r="AB34" s="135">
        <f>(AB39+AB28)*AB4/AVERAGE(AA52:AB52)</f>
        <v>0.22641819913866529</v>
      </c>
      <c r="AC34" s="135">
        <f>(AC39+AC28)*AC4/AVERAGE(AB52:AC52)</f>
        <v>0.2329508047855797</v>
      </c>
      <c r="AD34" s="181"/>
      <c r="AI34" s="135">
        <f>(AI39+AI28)*AI4/AVERAGE(W52:Y52)</f>
        <v>0.1805694185040134</v>
      </c>
      <c r="AJ34" s="135">
        <f>(AJ39+AJ28)*AJ4/AVERAGE(AA52:AC52)</f>
        <v>0.22769832694195499</v>
      </c>
      <c r="AK34" s="318"/>
      <c r="AO34" s="135">
        <f>(AO39+AO28)*AO4/AVERAGE(S52:V52)</f>
        <v>0.13523772296361178</v>
      </c>
      <c r="AP34" s="135">
        <f>(AP39+AP28)*AP4/AVERAGE(W52:Z52)</f>
        <v>0.18906122722737828</v>
      </c>
      <c r="AQ34" s="181"/>
      <c r="AV34" s="135">
        <f>(AV39+AV28)*$AR$4/AVERAGE(S52:W52)</f>
        <v>0.14589835042353991</v>
      </c>
      <c r="AW34" s="135">
        <f>(AW39+AW28)*$AR$4/AVERAGE(W52:AA52)</f>
        <v>0.19788161532223442</v>
      </c>
    </row>
    <row r="35" spans="2:49" x14ac:dyDescent="0.2">
      <c r="AD35" s="181"/>
      <c r="AK35" s="181"/>
      <c r="AQ35" s="181"/>
    </row>
    <row r="36" spans="2:49" x14ac:dyDescent="0.2">
      <c r="B36" s="176" t="s">
        <v>486</v>
      </c>
      <c r="C36" s="219"/>
      <c r="D36" s="219"/>
      <c r="E36" s="219"/>
      <c r="F36" s="219"/>
      <c r="G36" s="219"/>
      <c r="H36" s="179"/>
      <c r="I36" s="219"/>
      <c r="J36" s="21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>
        <f>X38+X39+X40</f>
        <v>8580</v>
      </c>
      <c r="Y36" s="179">
        <f>AI36-X36</f>
        <v>12716</v>
      </c>
      <c r="Z36" s="179">
        <f>AP36-AI36</f>
        <v>17155</v>
      </c>
      <c r="AA36" s="179">
        <f>AW36-AP36</f>
        <v>10159</v>
      </c>
      <c r="AB36" s="179">
        <f>AB38+AB39+AB40</f>
        <v>12107</v>
      </c>
      <c r="AC36" s="179">
        <f>AC38+AC39+AC40</f>
        <v>14454</v>
      </c>
      <c r="AD36" s="181"/>
      <c r="AE36" s="179"/>
      <c r="AF36" s="179"/>
      <c r="AG36" s="179"/>
      <c r="AH36" s="179"/>
      <c r="AI36" s="179">
        <f>AI38+AI39+AI40</f>
        <v>21296</v>
      </c>
      <c r="AJ36" s="179">
        <f>AJ38+AJ39+AJ40</f>
        <v>26561</v>
      </c>
      <c r="AK36" s="181"/>
      <c r="AL36" s="179"/>
      <c r="AM36" s="179"/>
      <c r="AN36" s="179"/>
      <c r="AO36" s="179">
        <f>AO38+AO39+AO40</f>
        <v>26446</v>
      </c>
      <c r="AP36" s="179">
        <f>AP38+AP39+AP40</f>
        <v>38451</v>
      </c>
      <c r="AQ36" s="181"/>
      <c r="AR36" s="179"/>
      <c r="AS36" s="179"/>
      <c r="AT36" s="179"/>
      <c r="AU36" s="179"/>
      <c r="AV36" s="179">
        <f>AV38+AV39+AV40</f>
        <v>34866</v>
      </c>
      <c r="AW36" s="179">
        <f>AW38+AW39+AW40</f>
        <v>48610</v>
      </c>
    </row>
    <row r="37" spans="2:49" x14ac:dyDescent="0.2">
      <c r="AD37" s="181"/>
      <c r="AK37" s="181"/>
      <c r="AQ37" s="181"/>
    </row>
    <row r="38" spans="2:49" x14ac:dyDescent="0.2">
      <c r="B38" s="197" t="s">
        <v>319</v>
      </c>
      <c r="X38" s="28">
        <f>Sovcombank!AS340</f>
        <v>611</v>
      </c>
      <c r="Y38" s="28">
        <f>AI38-X38</f>
        <v>4001</v>
      </c>
      <c r="Z38" s="28">
        <f>AP38-AI38</f>
        <v>7566</v>
      </c>
      <c r="AA38" s="28">
        <f>AW38-AP38</f>
        <v>-1700</v>
      </c>
      <c r="AB38" s="28">
        <f>Sovcombank!AW340</f>
        <v>2024</v>
      </c>
      <c r="AC38" s="28">
        <f>AJ38-AB38</f>
        <v>2316</v>
      </c>
      <c r="AD38" s="181"/>
      <c r="AI38" s="28">
        <f>Sovcombank!AT340</f>
        <v>4612</v>
      </c>
      <c r="AJ38" s="28">
        <f>Sovcombank!AX340</f>
        <v>4340</v>
      </c>
      <c r="AK38" s="181"/>
      <c r="AO38" s="28">
        <f>Sovcombank!AQ340</f>
        <v>7356</v>
      </c>
      <c r="AP38" s="28">
        <f>Sovcombank!AU340</f>
        <v>12178</v>
      </c>
      <c r="AQ38" s="181"/>
      <c r="AV38" s="28">
        <f>Sovcombank!AR340</f>
        <v>8314</v>
      </c>
      <c r="AW38" s="28">
        <f>Sovcombank!AV340</f>
        <v>10478</v>
      </c>
    </row>
    <row r="39" spans="2:49" x14ac:dyDescent="0.2">
      <c r="B39" s="197" t="s">
        <v>361</v>
      </c>
      <c r="X39" s="28">
        <f>Sovcombank!AS341</f>
        <v>7111</v>
      </c>
      <c r="Y39" s="28">
        <f>AI39-X39</f>
        <v>9067</v>
      </c>
      <c r="Z39" s="28">
        <f>AP39-AI39</f>
        <v>9237</v>
      </c>
      <c r="AA39" s="28">
        <f>AW39-AP39</f>
        <v>11468</v>
      </c>
      <c r="AB39" s="28">
        <f>Sovcombank!AW341</f>
        <v>9884</v>
      </c>
      <c r="AC39" s="28">
        <f>AJ39-AB39</f>
        <v>11715</v>
      </c>
      <c r="AD39" s="181"/>
      <c r="AI39" s="28">
        <f>Sovcombank!AT341</f>
        <v>16178</v>
      </c>
      <c r="AJ39" s="28">
        <f>Sovcombank!AX341</f>
        <v>21599</v>
      </c>
      <c r="AK39" s="181"/>
      <c r="AO39" s="28">
        <f>Sovcombank!AQ341</f>
        <v>18801</v>
      </c>
      <c r="AP39" s="28">
        <f>Sovcombank!AU341</f>
        <v>25415</v>
      </c>
      <c r="AQ39" s="181"/>
      <c r="AV39" s="28">
        <f>Sovcombank!AR341</f>
        <v>25368</v>
      </c>
      <c r="AW39" s="28">
        <f>Sovcombank!AV341</f>
        <v>36883</v>
      </c>
    </row>
    <row r="40" spans="2:49" x14ac:dyDescent="0.2">
      <c r="B40" s="197" t="s">
        <v>321</v>
      </c>
      <c r="X40" s="28">
        <f>Sovcombank!AS342</f>
        <v>858</v>
      </c>
      <c r="Y40" s="28">
        <f>AI40-X40</f>
        <v>-352</v>
      </c>
      <c r="Z40" s="28">
        <f>AP40-AI40</f>
        <v>352</v>
      </c>
      <c r="AA40" s="28">
        <f>AW40-AP40</f>
        <v>391</v>
      </c>
      <c r="AB40" s="28">
        <f>Sovcombank!AW342</f>
        <v>199</v>
      </c>
      <c r="AC40" s="28">
        <f>AJ40-AB40</f>
        <v>423</v>
      </c>
      <c r="AD40" s="181"/>
      <c r="AI40" s="28">
        <f>Sovcombank!AT342</f>
        <v>506</v>
      </c>
      <c r="AJ40" s="28">
        <f>Sovcombank!AX342</f>
        <v>622</v>
      </c>
      <c r="AK40" s="181"/>
      <c r="AO40" s="28">
        <f>Sovcombank!AQ342</f>
        <v>289</v>
      </c>
      <c r="AP40" s="28">
        <f>Sovcombank!AU342</f>
        <v>858</v>
      </c>
      <c r="AQ40" s="181"/>
      <c r="AV40" s="28">
        <f>Sovcombank!AR342</f>
        <v>1184</v>
      </c>
      <c r="AW40" s="28">
        <f>Sovcombank!AV342</f>
        <v>1249</v>
      </c>
    </row>
    <row r="41" spans="2:49" x14ac:dyDescent="0.2">
      <c r="AD41" s="181"/>
      <c r="AK41" s="181"/>
      <c r="AQ41" s="181"/>
    </row>
    <row r="42" spans="2:49" x14ac:dyDescent="0.2">
      <c r="B42" s="176" t="s">
        <v>385</v>
      </c>
      <c r="C42" s="179">
        <f>Sovcombank!X63</f>
        <v>815053</v>
      </c>
      <c r="D42" s="179">
        <f>Sovcombank!Y63</f>
        <v>807121</v>
      </c>
      <c r="E42" s="179">
        <f>Sovcombank!Z63</f>
        <v>789151</v>
      </c>
      <c r="F42" s="179">
        <f>Sovcombank!AA63</f>
        <v>812316</v>
      </c>
      <c r="G42" s="179">
        <f>Sovcombank!AB63</f>
        <v>983109</v>
      </c>
      <c r="H42" s="179">
        <f>Sovcombank!AC63</f>
        <v>1118016</v>
      </c>
      <c r="I42" s="179">
        <f>Sovcombank!AD63</f>
        <v>1338706</v>
      </c>
      <c r="J42" s="179">
        <f>Sovcombank!AE63</f>
        <v>1377302</v>
      </c>
      <c r="K42" s="179">
        <f>Sovcombank!AF63</f>
        <v>1282744</v>
      </c>
      <c r="L42" s="179">
        <f>Sovcombank!AG63</f>
        <v>1381662</v>
      </c>
      <c r="M42" s="179">
        <f>Sovcombank!AH63</f>
        <v>1581371</v>
      </c>
      <c r="N42" s="179">
        <f>Sovcombank!AI63</f>
        <v>1634066</v>
      </c>
      <c r="O42" s="179">
        <f>Sovcombank!AJ63</f>
        <v>1698680</v>
      </c>
      <c r="P42" s="179">
        <f>Sovcombank!AK63</f>
        <v>1685697</v>
      </c>
      <c r="Q42" s="179">
        <f>Sovcombank!AL63</f>
        <v>1643866</v>
      </c>
      <c r="R42" s="179">
        <f>Sovcombank!AM63</f>
        <v>1795385</v>
      </c>
      <c r="S42" s="179">
        <f>Sovcombank!AN63</f>
        <v>1932613</v>
      </c>
      <c r="T42" s="179">
        <f>Sovcombank!AO63</f>
        <v>2028543</v>
      </c>
      <c r="U42" s="179">
        <f>Sovcombank!AP63</f>
        <v>2059970</v>
      </c>
      <c r="V42" s="179">
        <f>Sovcombank!AQ63</f>
        <v>2271807</v>
      </c>
      <c r="W42" s="179">
        <f>Sovcombank!AR63</f>
        <v>2470918</v>
      </c>
      <c r="X42" s="179">
        <f>Sovcombank!AS63</f>
        <v>2826273</v>
      </c>
      <c r="Y42" s="179">
        <f>Sovcombank!AT63</f>
        <v>2936998</v>
      </c>
      <c r="Z42" s="179">
        <f>Sovcombank!AU63</f>
        <v>3049639</v>
      </c>
      <c r="AA42" s="179">
        <f>Sovcombank!AV63</f>
        <v>3295930</v>
      </c>
      <c r="AB42" s="179">
        <f>Sovcombank!AW63</f>
        <v>3204203</v>
      </c>
      <c r="AC42" s="179">
        <f>Sovcombank!AX63</f>
        <v>3268578</v>
      </c>
      <c r="AD42" s="181" t="s">
        <v>442</v>
      </c>
      <c r="AE42" s="219"/>
      <c r="AF42" s="219"/>
      <c r="AG42" s="219"/>
      <c r="AH42" s="219"/>
      <c r="AI42" s="219"/>
      <c r="AJ42" s="219"/>
      <c r="AK42" s="181"/>
      <c r="AL42" s="219"/>
      <c r="AM42" s="219"/>
      <c r="AN42" s="219"/>
      <c r="AO42" s="219"/>
      <c r="AP42" s="219"/>
      <c r="AQ42" s="181"/>
      <c r="AR42" s="219"/>
      <c r="AS42" s="219"/>
      <c r="AT42" s="219"/>
      <c r="AU42" s="219"/>
      <c r="AV42" s="219"/>
      <c r="AW42" s="219"/>
    </row>
    <row r="43" spans="2:49" x14ac:dyDescent="0.2">
      <c r="AD43" s="181"/>
      <c r="AK43" s="181"/>
      <c r="AQ43" s="181"/>
    </row>
    <row r="44" spans="2:49" x14ac:dyDescent="0.2">
      <c r="B44" s="197" t="s">
        <v>235</v>
      </c>
      <c r="C44" s="28">
        <f>Sovcombank!X185</f>
        <v>47609</v>
      </c>
      <c r="D44" s="28">
        <f>Sovcombank!Y185</f>
        <v>48669</v>
      </c>
      <c r="E44" s="28">
        <f>Sovcombank!Z185</f>
        <v>51045</v>
      </c>
      <c r="F44" s="28">
        <f>Sovcombank!AA185</f>
        <v>55198</v>
      </c>
      <c r="G44" s="28">
        <f>Sovcombank!AB185</f>
        <v>60947</v>
      </c>
      <c r="H44" s="28">
        <f>Sovcombank!AC185</f>
        <v>64714</v>
      </c>
      <c r="I44" s="28">
        <f>Sovcombank!AD185</f>
        <v>63412</v>
      </c>
      <c r="J44" s="28">
        <f>Sovcombank!AE185</f>
        <v>65944</v>
      </c>
      <c r="K44" s="28">
        <f>Sovcombank!AF185</f>
        <v>68547</v>
      </c>
      <c r="L44" s="28">
        <f>Sovcombank!AG185</f>
        <v>71673</v>
      </c>
      <c r="M44" s="28">
        <f>Sovcombank!AH185</f>
        <v>88129</v>
      </c>
      <c r="N44" s="28">
        <f>Sovcombank!AI185</f>
        <v>96766</v>
      </c>
      <c r="O44" s="28">
        <f>Sovcombank!AJ185</f>
        <v>136250</v>
      </c>
      <c r="P44" s="28">
        <f>Sovcombank!AK185</f>
        <v>137423</v>
      </c>
      <c r="Q44" s="28">
        <f>Sovcombank!AL185</f>
        <v>139223</v>
      </c>
      <c r="R44" s="28">
        <f>Sovcombank!AM185</f>
        <v>145082</v>
      </c>
      <c r="S44" s="28">
        <f>Sovcombank!AN185</f>
        <v>148990</v>
      </c>
      <c r="T44" s="28">
        <f>Sovcombank!AO185</f>
        <v>149554</v>
      </c>
      <c r="U44" s="28">
        <f>Sovcombank!AP185</f>
        <v>170854</v>
      </c>
      <c r="V44" s="28">
        <f>Sovcombank!AQ185</f>
        <v>174851</v>
      </c>
      <c r="W44" s="28">
        <f>Sovcombank!AR185</f>
        <v>178010</v>
      </c>
      <c r="X44" s="28">
        <f>Sovcombank!AS185</f>
        <v>361928</v>
      </c>
      <c r="Y44" s="28">
        <f>Sovcombank!AT185</f>
        <v>368150</v>
      </c>
      <c r="Z44" s="28">
        <f>Sovcombank!AU185</f>
        <v>357357</v>
      </c>
      <c r="AA44" s="28">
        <f>Sovcombank!AV185</f>
        <v>356656</v>
      </c>
      <c r="AB44" s="28">
        <f>Sovcombank!AW185</f>
        <v>350958</v>
      </c>
      <c r="AC44" s="28">
        <f>Sovcombank!AX185</f>
        <v>336177</v>
      </c>
      <c r="AD44" s="181"/>
      <c r="AK44" s="181"/>
      <c r="AQ44" s="181"/>
    </row>
    <row r="45" spans="2:49" x14ac:dyDescent="0.2">
      <c r="B45" s="197" t="s">
        <v>236</v>
      </c>
      <c r="C45" s="28">
        <f>Sovcombank!X186</f>
        <v>20303</v>
      </c>
      <c r="D45" s="28">
        <f>Sovcombank!Y186</f>
        <v>26601</v>
      </c>
      <c r="E45" s="28">
        <f>Sovcombank!Z186</f>
        <v>32663</v>
      </c>
      <c r="F45" s="28">
        <f>Sovcombank!AA186</f>
        <v>38252</v>
      </c>
      <c r="G45" s="28">
        <f>Sovcombank!AB186</f>
        <v>43206</v>
      </c>
      <c r="H45" s="28">
        <f>Sovcombank!AC186</f>
        <v>46175</v>
      </c>
      <c r="I45" s="28">
        <f>Sovcombank!AD186</f>
        <v>47279</v>
      </c>
      <c r="J45" s="28">
        <f>Sovcombank!AE186</f>
        <v>57895</v>
      </c>
      <c r="K45" s="28">
        <f>Sovcombank!AF186</f>
        <v>60915</v>
      </c>
      <c r="L45" s="28">
        <f>Sovcombank!AG186</f>
        <v>64061</v>
      </c>
      <c r="M45" s="28">
        <f>Sovcombank!AH186</f>
        <v>125009</v>
      </c>
      <c r="N45" s="28">
        <f>Sovcombank!AI186</f>
        <v>127099</v>
      </c>
      <c r="O45" s="28">
        <f>Sovcombank!AJ186</f>
        <v>106705</v>
      </c>
      <c r="P45" s="28">
        <f>Sovcombank!AK186</f>
        <v>110135</v>
      </c>
      <c r="Q45" s="28">
        <f>Sovcombank!AL186</f>
        <v>117642</v>
      </c>
      <c r="R45" s="28">
        <f>Sovcombank!AM186</f>
        <v>124700</v>
      </c>
      <c r="S45" s="28">
        <f>Sovcombank!AN186</f>
        <v>125204</v>
      </c>
      <c r="T45" s="28">
        <f>Sovcombank!AO186</f>
        <v>135169</v>
      </c>
      <c r="U45" s="28">
        <f>Sovcombank!AP186</f>
        <v>126119</v>
      </c>
      <c r="V45" s="28">
        <f>Sovcombank!AQ186</f>
        <v>128804</v>
      </c>
      <c r="W45" s="28">
        <f>Sovcombank!AR186</f>
        <v>135377</v>
      </c>
      <c r="X45" s="28">
        <f>Sovcombank!AS186</f>
        <v>155251</v>
      </c>
      <c r="Y45" s="28">
        <f>Sovcombank!AT186</f>
        <v>158117</v>
      </c>
      <c r="Z45" s="28">
        <f>Sovcombank!AU186</f>
        <v>164365</v>
      </c>
      <c r="AA45" s="28">
        <f>Sovcombank!AV186</f>
        <v>172914</v>
      </c>
      <c r="AB45" s="28">
        <f>Sovcombank!AW186</f>
        <v>177094</v>
      </c>
      <c r="AC45" s="28">
        <f>Sovcombank!AX186</f>
        <v>179965</v>
      </c>
      <c r="AD45" s="181"/>
      <c r="AK45" s="181"/>
      <c r="AQ45" s="181"/>
    </row>
    <row r="46" spans="2:49" x14ac:dyDescent="0.2">
      <c r="B46" s="197" t="s">
        <v>243</v>
      </c>
      <c r="C46" s="28">
        <f>Sovcombank!X183</f>
        <v>74978</v>
      </c>
      <c r="D46" s="28">
        <f>Sovcombank!Y183</f>
        <v>79847</v>
      </c>
      <c r="E46" s="28">
        <f>Sovcombank!Z183</f>
        <v>88868</v>
      </c>
      <c r="F46" s="28">
        <f>Sovcombank!AA183</f>
        <v>97461</v>
      </c>
      <c r="G46" s="28">
        <f>Sovcombank!AB183</f>
        <v>101943</v>
      </c>
      <c r="H46" s="28">
        <f>Sovcombank!AC183</f>
        <v>104799</v>
      </c>
      <c r="I46" s="28">
        <f>Sovcombank!AD183</f>
        <v>104008</v>
      </c>
      <c r="J46" s="28">
        <f>Sovcombank!AE183</f>
        <v>110151</v>
      </c>
      <c r="K46" s="28">
        <f>Sovcombank!AF183</f>
        <v>108886</v>
      </c>
      <c r="L46" s="28">
        <f>Sovcombank!AG183</f>
        <v>111967</v>
      </c>
      <c r="M46" s="28">
        <f>Sovcombank!AH183</f>
        <v>120783</v>
      </c>
      <c r="N46" s="28">
        <f>Sovcombank!AI183</f>
        <v>130815</v>
      </c>
      <c r="O46" s="28">
        <f>Sovcombank!AJ183</f>
        <v>140755</v>
      </c>
      <c r="P46" s="28">
        <f>Sovcombank!AK183</f>
        <v>143990</v>
      </c>
      <c r="Q46" s="28">
        <f>Sovcombank!AL183</f>
        <v>149501</v>
      </c>
      <c r="R46" s="28">
        <f>Sovcombank!AM183</f>
        <v>159511</v>
      </c>
      <c r="S46" s="28">
        <f>Sovcombank!AN183</f>
        <v>166288</v>
      </c>
      <c r="T46" s="28">
        <f>Sovcombank!AO183</f>
        <v>175671</v>
      </c>
      <c r="U46" s="28">
        <f>Sovcombank!AP183</f>
        <v>209115</v>
      </c>
      <c r="V46" s="28">
        <f>Sovcombank!AQ183</f>
        <v>241879</v>
      </c>
      <c r="W46" s="28">
        <f>Sovcombank!AR183</f>
        <v>271935</v>
      </c>
      <c r="X46" s="28">
        <f>Sovcombank!AS183</f>
        <v>303960</v>
      </c>
      <c r="Y46" s="28">
        <f>Sovcombank!AT183</f>
        <v>351004</v>
      </c>
      <c r="Z46" s="28">
        <f>Sovcombank!AU183</f>
        <v>436555</v>
      </c>
      <c r="AA46" s="28">
        <f>Sovcombank!AV183</f>
        <v>475119</v>
      </c>
      <c r="AB46" s="28">
        <f>Sovcombank!AW183</f>
        <v>494921</v>
      </c>
      <c r="AC46" s="28">
        <f>Sovcombank!AX183</f>
        <v>512878</v>
      </c>
    </row>
    <row r="47" spans="2:49" x14ac:dyDescent="0.2">
      <c r="B47" s="197" t="s">
        <v>42</v>
      </c>
      <c r="C47" s="28">
        <f>Sovcombank!X184</f>
        <v>57801</v>
      </c>
      <c r="D47" s="28">
        <f>Sovcombank!Y184</f>
        <v>59770</v>
      </c>
      <c r="E47" s="28">
        <f>Sovcombank!Z184</f>
        <v>62475</v>
      </c>
      <c r="F47" s="28">
        <f>Sovcombank!AA184</f>
        <v>64443</v>
      </c>
      <c r="G47" s="28">
        <f>Sovcombank!AB184</f>
        <v>68046</v>
      </c>
      <c r="H47" s="28">
        <f>Sovcombank!AC184</f>
        <v>70180</v>
      </c>
      <c r="I47" s="28">
        <f>Sovcombank!AD184</f>
        <v>70524</v>
      </c>
      <c r="J47" s="28">
        <f>Sovcombank!AE184</f>
        <v>74362</v>
      </c>
      <c r="K47" s="28">
        <f>Sovcombank!AF184</f>
        <v>82445</v>
      </c>
      <c r="L47" s="28">
        <f>Sovcombank!AG184</f>
        <v>90285</v>
      </c>
      <c r="M47" s="28">
        <f>Sovcombank!AH184</f>
        <v>120618</v>
      </c>
      <c r="N47" s="28">
        <f>Sovcombank!AI184</f>
        <v>135252</v>
      </c>
      <c r="O47" s="28">
        <f>Sovcombank!AJ184</f>
        <v>156585</v>
      </c>
      <c r="P47" s="28">
        <f>Sovcombank!AK184</f>
        <v>159788</v>
      </c>
      <c r="Q47" s="28">
        <f>Sovcombank!AL184</f>
        <v>162739</v>
      </c>
      <c r="R47" s="28">
        <f>Sovcombank!AM184</f>
        <v>175695</v>
      </c>
      <c r="S47" s="28">
        <f>Sovcombank!AN184</f>
        <v>186203</v>
      </c>
      <c r="T47" s="28">
        <f>Sovcombank!AO184</f>
        <v>193975</v>
      </c>
      <c r="U47" s="28">
        <f>Sovcombank!AP184</f>
        <v>210717</v>
      </c>
      <c r="V47" s="28">
        <f>Sovcombank!AQ184</f>
        <v>231681</v>
      </c>
      <c r="W47" s="28">
        <f>Sovcombank!AR184</f>
        <v>252598</v>
      </c>
      <c r="X47" s="28">
        <f>Sovcombank!AS184</f>
        <v>280031</v>
      </c>
      <c r="Y47" s="28">
        <f>Sovcombank!AT184</f>
        <v>304225</v>
      </c>
      <c r="Z47" s="28">
        <f>Sovcombank!AU184</f>
        <v>325801</v>
      </c>
      <c r="AA47" s="28">
        <f>Sovcombank!AV184</f>
        <v>347613</v>
      </c>
      <c r="AB47" s="28">
        <f>Sovcombank!AW184</f>
        <v>353029</v>
      </c>
      <c r="AC47" s="28">
        <f>Sovcombank!AX184</f>
        <v>362448</v>
      </c>
      <c r="AD47" s="181"/>
      <c r="AK47" s="181"/>
      <c r="AQ47" s="181"/>
    </row>
    <row r="48" spans="2:49" x14ac:dyDescent="0.2">
      <c r="B48" s="201" t="s">
        <v>104</v>
      </c>
      <c r="C48" s="209">
        <f>SUM(C44:C47)</f>
        <v>200691</v>
      </c>
      <c r="D48" s="209">
        <f t="shared" ref="D48:S48" si="40">SUM(D44:D47)</f>
        <v>214887</v>
      </c>
      <c r="E48" s="209">
        <f t="shared" si="40"/>
        <v>235051</v>
      </c>
      <c r="F48" s="209">
        <f t="shared" si="40"/>
        <v>255354</v>
      </c>
      <c r="G48" s="209">
        <f t="shared" si="40"/>
        <v>274142</v>
      </c>
      <c r="H48" s="209">
        <f t="shared" si="40"/>
        <v>285868</v>
      </c>
      <c r="I48" s="209">
        <f t="shared" si="40"/>
        <v>285223</v>
      </c>
      <c r="J48" s="209">
        <f t="shared" si="40"/>
        <v>308352</v>
      </c>
      <c r="K48" s="209">
        <f t="shared" si="40"/>
        <v>320793</v>
      </c>
      <c r="L48" s="209">
        <f t="shared" si="40"/>
        <v>337986</v>
      </c>
      <c r="M48" s="209">
        <f t="shared" si="40"/>
        <v>454539</v>
      </c>
      <c r="N48" s="209">
        <f t="shared" si="40"/>
        <v>489932</v>
      </c>
      <c r="O48" s="209">
        <f t="shared" si="40"/>
        <v>540295</v>
      </c>
      <c r="P48" s="209">
        <f t="shared" si="40"/>
        <v>551336</v>
      </c>
      <c r="Q48" s="209">
        <f t="shared" si="40"/>
        <v>569105</v>
      </c>
      <c r="R48" s="209">
        <f t="shared" si="40"/>
        <v>604988</v>
      </c>
      <c r="S48" s="209">
        <f t="shared" si="40"/>
        <v>626685</v>
      </c>
      <c r="T48" s="209">
        <f t="shared" ref="T48:U48" si="41">SUM(T44:T47)</f>
        <v>654369</v>
      </c>
      <c r="U48" s="209">
        <f t="shared" si="41"/>
        <v>716805</v>
      </c>
      <c r="V48" s="209">
        <f t="shared" ref="V48:W48" si="42">SUM(V44:V47)</f>
        <v>777215</v>
      </c>
      <c r="W48" s="209">
        <f t="shared" si="42"/>
        <v>837920</v>
      </c>
      <c r="X48" s="209">
        <f t="shared" ref="X48:Y48" si="43">SUM(X44:X47)</f>
        <v>1101170</v>
      </c>
      <c r="Y48" s="209">
        <f t="shared" si="43"/>
        <v>1181496</v>
      </c>
      <c r="Z48" s="209">
        <f t="shared" ref="Z48:AA48" si="44">SUM(Z44:Z47)</f>
        <v>1284078</v>
      </c>
      <c r="AA48" s="209">
        <f t="shared" si="44"/>
        <v>1352302</v>
      </c>
      <c r="AB48" s="209">
        <f t="shared" ref="AB48:AC48" si="45">SUM(AB44:AB47)</f>
        <v>1376002</v>
      </c>
      <c r="AC48" s="209">
        <f t="shared" si="45"/>
        <v>1391468</v>
      </c>
      <c r="AD48" s="181"/>
      <c r="AK48" s="181"/>
      <c r="AQ48" s="181"/>
    </row>
    <row r="49" spans="2:49" x14ac:dyDescent="0.2">
      <c r="B49" s="204" t="s">
        <v>207</v>
      </c>
      <c r="C49" s="221">
        <f>SUM(C46:C47)</f>
        <v>132779</v>
      </c>
      <c r="D49" s="221">
        <f t="shared" ref="D49:S49" si="46">SUM(D46:D47)</f>
        <v>139617</v>
      </c>
      <c r="E49" s="221">
        <f t="shared" si="46"/>
        <v>151343</v>
      </c>
      <c r="F49" s="221">
        <f t="shared" si="46"/>
        <v>161904</v>
      </c>
      <c r="G49" s="221">
        <f t="shared" si="46"/>
        <v>169989</v>
      </c>
      <c r="H49" s="221">
        <f t="shared" si="46"/>
        <v>174979</v>
      </c>
      <c r="I49" s="221">
        <f t="shared" si="46"/>
        <v>174532</v>
      </c>
      <c r="J49" s="221">
        <f t="shared" si="46"/>
        <v>184513</v>
      </c>
      <c r="K49" s="221">
        <f t="shared" si="46"/>
        <v>191331</v>
      </c>
      <c r="L49" s="221">
        <f t="shared" si="46"/>
        <v>202252</v>
      </c>
      <c r="M49" s="221">
        <f t="shared" si="46"/>
        <v>241401</v>
      </c>
      <c r="N49" s="221">
        <f t="shared" si="46"/>
        <v>266067</v>
      </c>
      <c r="O49" s="221">
        <f t="shared" si="46"/>
        <v>297340</v>
      </c>
      <c r="P49" s="221">
        <f t="shared" si="46"/>
        <v>303778</v>
      </c>
      <c r="Q49" s="221">
        <f t="shared" si="46"/>
        <v>312240</v>
      </c>
      <c r="R49" s="221">
        <f t="shared" si="46"/>
        <v>335206</v>
      </c>
      <c r="S49" s="221">
        <f t="shared" si="46"/>
        <v>352491</v>
      </c>
      <c r="T49" s="221">
        <f t="shared" ref="T49:U49" si="47">SUM(T46:T47)</f>
        <v>369646</v>
      </c>
      <c r="U49" s="221">
        <f t="shared" si="47"/>
        <v>419832</v>
      </c>
      <c r="V49" s="221">
        <f t="shared" ref="V49:W49" si="48">SUM(V46:V47)</f>
        <v>473560</v>
      </c>
      <c r="W49" s="221">
        <f t="shared" si="48"/>
        <v>524533</v>
      </c>
      <c r="X49" s="221">
        <f t="shared" ref="X49:Y49" si="49">SUM(X46:X47)</f>
        <v>583991</v>
      </c>
      <c r="Y49" s="221">
        <f t="shared" si="49"/>
        <v>655229</v>
      </c>
      <c r="Z49" s="221">
        <f t="shared" ref="Z49:AA49" si="50">SUM(Z46:Z47)</f>
        <v>762356</v>
      </c>
      <c r="AA49" s="221">
        <f t="shared" si="50"/>
        <v>822732</v>
      </c>
      <c r="AB49" s="221">
        <f t="shared" ref="AB49:AC49" si="51">SUM(AB46:AB47)</f>
        <v>847950</v>
      </c>
      <c r="AC49" s="221">
        <f t="shared" si="51"/>
        <v>875326</v>
      </c>
      <c r="AD49" s="181"/>
      <c r="AK49" s="181"/>
      <c r="AQ49" s="181"/>
    </row>
    <row r="50" spans="2:49" x14ac:dyDescent="0.2">
      <c r="B50" s="204" t="s">
        <v>208</v>
      </c>
      <c r="C50" s="221">
        <f>SUM(C44:C45)</f>
        <v>67912</v>
      </c>
      <c r="D50" s="221">
        <f t="shared" ref="D50:S50" si="52">SUM(D44:D45)</f>
        <v>75270</v>
      </c>
      <c r="E50" s="221">
        <f t="shared" si="52"/>
        <v>83708</v>
      </c>
      <c r="F50" s="221">
        <f t="shared" si="52"/>
        <v>93450</v>
      </c>
      <c r="G50" s="221">
        <f t="shared" si="52"/>
        <v>104153</v>
      </c>
      <c r="H50" s="221">
        <f t="shared" si="52"/>
        <v>110889</v>
      </c>
      <c r="I50" s="221">
        <f t="shared" si="52"/>
        <v>110691</v>
      </c>
      <c r="J50" s="221">
        <f t="shared" si="52"/>
        <v>123839</v>
      </c>
      <c r="K50" s="221">
        <f t="shared" si="52"/>
        <v>129462</v>
      </c>
      <c r="L50" s="221">
        <f t="shared" si="52"/>
        <v>135734</v>
      </c>
      <c r="M50" s="221">
        <f t="shared" si="52"/>
        <v>213138</v>
      </c>
      <c r="N50" s="221">
        <f t="shared" si="52"/>
        <v>223865</v>
      </c>
      <c r="O50" s="221">
        <f t="shared" si="52"/>
        <v>242955</v>
      </c>
      <c r="P50" s="221">
        <f t="shared" si="52"/>
        <v>247558</v>
      </c>
      <c r="Q50" s="221">
        <f t="shared" si="52"/>
        <v>256865</v>
      </c>
      <c r="R50" s="221">
        <f t="shared" si="52"/>
        <v>269782</v>
      </c>
      <c r="S50" s="221">
        <f t="shared" si="52"/>
        <v>274194</v>
      </c>
      <c r="T50" s="221">
        <f t="shared" ref="T50:U50" si="53">SUM(T44:T45)</f>
        <v>284723</v>
      </c>
      <c r="U50" s="221">
        <f t="shared" si="53"/>
        <v>296973</v>
      </c>
      <c r="V50" s="221">
        <f t="shared" ref="V50:W50" si="54">SUM(V44:V45)</f>
        <v>303655</v>
      </c>
      <c r="W50" s="221">
        <f t="shared" si="54"/>
        <v>313387</v>
      </c>
      <c r="X50" s="221">
        <f t="shared" ref="X50:Y50" si="55">SUM(X44:X45)</f>
        <v>517179</v>
      </c>
      <c r="Y50" s="221">
        <f t="shared" si="55"/>
        <v>526267</v>
      </c>
      <c r="Z50" s="221">
        <f t="shared" ref="Z50:AA50" si="56">SUM(Z44:Z45)</f>
        <v>521722</v>
      </c>
      <c r="AA50" s="221">
        <f t="shared" si="56"/>
        <v>529570</v>
      </c>
      <c r="AB50" s="221">
        <f t="shared" ref="AB50:AC50" si="57">SUM(AB44:AB45)</f>
        <v>528052</v>
      </c>
      <c r="AC50" s="221">
        <f t="shared" si="57"/>
        <v>516142</v>
      </c>
      <c r="AD50" s="181"/>
      <c r="AK50" s="181"/>
      <c r="AQ50" s="181"/>
    </row>
    <row r="51" spans="2:49" x14ac:dyDescent="0.2">
      <c r="AD51" s="181"/>
      <c r="AK51" s="181"/>
      <c r="AQ51" s="181"/>
    </row>
    <row r="52" spans="2:49" x14ac:dyDescent="0.2">
      <c r="B52" s="201" t="s">
        <v>43</v>
      </c>
      <c r="C52" s="209">
        <f>SUM(Sovcombank!X195:X197)</f>
        <v>197460</v>
      </c>
      <c r="D52" s="209">
        <f>SUM(Sovcombank!Y195:Y197)</f>
        <v>200440</v>
      </c>
      <c r="E52" s="209">
        <f>SUM(Sovcombank!Z195:Z197)</f>
        <v>193297</v>
      </c>
      <c r="F52" s="209">
        <f>SUM(Sovcombank!AA195:AA197)</f>
        <v>197440</v>
      </c>
      <c r="G52" s="209">
        <f>SUM(Sovcombank!AB195:AB197)</f>
        <v>221367</v>
      </c>
      <c r="H52" s="209">
        <f>SUM(Sovcombank!AC195:AC197)</f>
        <v>263371</v>
      </c>
      <c r="I52" s="209">
        <f>SUM(Sovcombank!AD195:AD197)</f>
        <v>304922</v>
      </c>
      <c r="J52" s="209">
        <f>SUM(Sovcombank!AE195:AE197)</f>
        <v>291936</v>
      </c>
      <c r="K52" s="209">
        <f>SUM(Sovcombank!AF195:AF197)</f>
        <v>356639</v>
      </c>
      <c r="L52" s="209">
        <f>SUM(Sovcombank!AG195:AG197)</f>
        <v>447141</v>
      </c>
      <c r="M52" s="209">
        <f>SUM(Sovcombank!AH195:AH197)</f>
        <v>545694</v>
      </c>
      <c r="N52" s="209">
        <f>SUM(Sovcombank!AI195:AI197)</f>
        <v>613117</v>
      </c>
      <c r="O52" s="209">
        <f>SUM(Sovcombank!AJ195:AJ197)</f>
        <v>684682</v>
      </c>
      <c r="P52" s="209">
        <f>SUM(Sovcombank!AK195:AK197)</f>
        <v>633334</v>
      </c>
      <c r="Q52" s="209">
        <f>SUM(Sovcombank!AL195:AL197)</f>
        <v>652624</v>
      </c>
      <c r="R52" s="209">
        <f>SUM(Sovcombank!AM195:AM197)</f>
        <v>754475</v>
      </c>
      <c r="S52" s="209">
        <f>SUM(Sovcombank!AN195:AN197)</f>
        <v>831221</v>
      </c>
      <c r="T52" s="209">
        <f>SUM(Sovcombank!AO195:AO197)</f>
        <v>870233</v>
      </c>
      <c r="U52" s="209">
        <f>SUM(Sovcombank!AP195:AP197)</f>
        <v>895203</v>
      </c>
      <c r="V52" s="209">
        <f>SUM(Sovcombank!AQ195:AQ197)</f>
        <v>1015629</v>
      </c>
      <c r="W52" s="209">
        <f>SUM(Sovcombank!AR195:AR197)</f>
        <v>1142874</v>
      </c>
      <c r="X52" s="209">
        <f>SUM(Sovcombank!AS195:AS197)</f>
        <v>1228716</v>
      </c>
      <c r="Y52" s="209">
        <f>SUM(Sovcombank!AT195:AT197)</f>
        <v>1292253</v>
      </c>
      <c r="Z52" s="209">
        <f>SUM(Sovcombank!AU195:AU197)</f>
        <v>1306032</v>
      </c>
      <c r="AA52" s="209">
        <f>SUM(Sovcombank!AV195:AV197)</f>
        <v>1428774</v>
      </c>
      <c r="AB52" s="209">
        <f>SUM(Sovcombank!AW195:AW197)</f>
        <v>1366655</v>
      </c>
      <c r="AC52" s="209">
        <f>SUM(Sovcombank!AX195:AX197)</f>
        <v>1452481</v>
      </c>
      <c r="AD52" s="181"/>
      <c r="AK52" s="181"/>
      <c r="AQ52" s="181"/>
    </row>
    <row r="53" spans="2:49" x14ac:dyDescent="0.2">
      <c r="B53" s="201" t="s">
        <v>384</v>
      </c>
      <c r="C53" s="209">
        <f>Sovcombank!X198</f>
        <v>357733</v>
      </c>
      <c r="D53" s="209">
        <f>Sovcombank!Y198</f>
        <v>344873</v>
      </c>
      <c r="E53" s="209">
        <f>Sovcombank!Z198</f>
        <v>320133</v>
      </c>
      <c r="F53" s="209">
        <f>Sovcombank!AA198</f>
        <v>318491</v>
      </c>
      <c r="G53" s="209">
        <f>Sovcombank!AB198</f>
        <v>333987</v>
      </c>
      <c r="H53" s="209">
        <f>Sovcombank!AC198</f>
        <v>393143</v>
      </c>
      <c r="I53" s="209">
        <f>Sovcombank!AD198</f>
        <v>422346</v>
      </c>
      <c r="J53" s="209">
        <f>Sovcombank!AE198</f>
        <v>404115</v>
      </c>
      <c r="K53" s="209">
        <f>Sovcombank!AF198</f>
        <v>422597</v>
      </c>
      <c r="L53" s="209">
        <f>Sovcombank!AG198</f>
        <v>491644</v>
      </c>
      <c r="M53" s="209">
        <f>Sovcombank!AH198</f>
        <v>581469</v>
      </c>
      <c r="N53" s="209">
        <f>Sovcombank!AI198</f>
        <v>646432</v>
      </c>
      <c r="O53" s="209">
        <f>Sovcombank!AJ198</f>
        <v>711720</v>
      </c>
      <c r="P53" s="209">
        <f>Sovcombank!AK198</f>
        <v>658346</v>
      </c>
      <c r="Q53" s="209">
        <f>Sovcombank!AL198</f>
        <v>664956</v>
      </c>
      <c r="R53" s="209">
        <f>Sovcombank!AM198</f>
        <v>766161</v>
      </c>
      <c r="S53" s="209">
        <f>Sovcombank!AN198</f>
        <v>840742</v>
      </c>
      <c r="T53" s="209">
        <f>Sovcombank!AO198</f>
        <v>879346</v>
      </c>
      <c r="U53" s="209">
        <f>Sovcombank!AP198</f>
        <v>898121</v>
      </c>
      <c r="V53" s="209">
        <f>Sovcombank!AQ198</f>
        <v>1032157</v>
      </c>
      <c r="W53" s="209">
        <f>Sovcombank!AR198</f>
        <v>1144834</v>
      </c>
      <c r="X53" s="209">
        <f>Sovcombank!AS198</f>
        <v>1230714</v>
      </c>
      <c r="Y53" s="209">
        <f>Sovcombank!AT198</f>
        <v>1294197</v>
      </c>
      <c r="Z53" s="209">
        <f>Sovcombank!AU198</f>
        <v>1308012</v>
      </c>
      <c r="AA53" s="209">
        <f>Sovcombank!AV198</f>
        <v>1429828</v>
      </c>
      <c r="AB53" s="209">
        <f>Sovcombank!AW198</f>
        <v>1367730</v>
      </c>
      <c r="AC53" s="209">
        <f>Sovcombank!AX198</f>
        <v>1453523</v>
      </c>
      <c r="AD53" s="181"/>
      <c r="AK53" s="181"/>
      <c r="AQ53" s="181"/>
    </row>
    <row r="54" spans="2:49" x14ac:dyDescent="0.2">
      <c r="AD54" s="181"/>
      <c r="AK54" s="181"/>
      <c r="AQ54" s="181"/>
      <c r="AV54" s="203"/>
      <c r="AW54" s="203"/>
    </row>
    <row r="55" spans="2:49" x14ac:dyDescent="0.2">
      <c r="AD55" s="181"/>
      <c r="AK55" s="181"/>
      <c r="AQ55" s="181"/>
    </row>
    <row r="56" spans="2:49" x14ac:dyDescent="0.2">
      <c r="AD56" s="181"/>
      <c r="AK56" s="181"/>
      <c r="AQ56" s="181"/>
      <c r="AV56" s="203"/>
      <c r="AW56" s="203"/>
    </row>
    <row r="57" spans="2:49" x14ac:dyDescent="0.2">
      <c r="AD57" s="181"/>
      <c r="AK57" s="181"/>
      <c r="AQ57" s="181"/>
    </row>
    <row r="58" spans="2:49" x14ac:dyDescent="0.2">
      <c r="AD58" s="181"/>
      <c r="AK58" s="181"/>
      <c r="AQ58" s="181"/>
      <c r="AV58" s="203"/>
      <c r="AW58" s="203"/>
    </row>
    <row r="59" spans="2:49" x14ac:dyDescent="0.2">
      <c r="AD59" s="181"/>
      <c r="AK59" s="181"/>
      <c r="AQ59" s="181"/>
    </row>
    <row r="60" spans="2:49" x14ac:dyDescent="0.2">
      <c r="AD60" s="181"/>
      <c r="AK60" s="181"/>
      <c r="AQ60" s="181"/>
    </row>
    <row r="61" spans="2:49" x14ac:dyDescent="0.2">
      <c r="AD61" s="181"/>
      <c r="AK61" s="181"/>
      <c r="AQ61" s="181"/>
    </row>
    <row r="62" spans="2:49" x14ac:dyDescent="0.2">
      <c r="AD62" s="181"/>
      <c r="AK62" s="181"/>
      <c r="AQ62" s="181"/>
    </row>
    <row r="63" spans="2:49" x14ac:dyDescent="0.2">
      <c r="AD63" s="181"/>
      <c r="AK63" s="181"/>
      <c r="AQ63" s="181"/>
    </row>
    <row r="64" spans="2:49" x14ac:dyDescent="0.2">
      <c r="AD64" s="181"/>
      <c r="AK64" s="181"/>
      <c r="AQ64" s="18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AE83"/>
  <sheetViews>
    <sheetView zoomScale="90" zoomScaleNormal="90" workbookViewId="0">
      <pane xSplit="2" ySplit="3" topLeftCell="C16" activePane="bottomRight" state="frozen"/>
      <selection activeCell="C13" sqref="C13"/>
      <selection pane="topRight" activeCell="C13" sqref="C13"/>
      <selection pane="bottomLeft" activeCell="C13" sqref="C13"/>
      <selection pane="bottomRight" activeCell="AB33" sqref="AB33"/>
    </sheetView>
  </sheetViews>
  <sheetFormatPr defaultRowHeight="11.25" outlineLevelCol="1" x14ac:dyDescent="0.2"/>
  <cols>
    <col min="1" max="1" width="2.5" customWidth="1"/>
    <col min="2" max="2" width="76.5" bestFit="1" customWidth="1"/>
    <col min="3" max="4" width="12.6640625" hidden="1" customWidth="1" outlineLevel="1"/>
    <col min="5" max="5" width="12.6640625" hidden="1" customWidth="1" outlineLevel="1" collapsed="1"/>
    <col min="6" max="10" width="12.6640625" hidden="1" customWidth="1" outlineLevel="1"/>
    <col min="11" max="12" width="12.6640625" hidden="1" customWidth="1" outlineLevel="1" collapsed="1"/>
    <col min="13" max="14" width="12.6640625" hidden="1" customWidth="1" outlineLevel="1"/>
    <col min="15" max="15" width="12.6640625" hidden="1" customWidth="1" outlineLevel="1" collapsed="1"/>
    <col min="16" max="18" width="12.6640625" hidden="1" customWidth="1" outlineLevel="1"/>
    <col min="19" max="19" width="12.6640625" hidden="1" customWidth="1" outlineLevel="1" collapsed="1"/>
    <col min="20" max="22" width="12.6640625" hidden="1" customWidth="1" outlineLevel="1"/>
    <col min="23" max="23" width="12.6640625" customWidth="1" collapsed="1"/>
    <col min="24" max="29" width="12.6640625" customWidth="1"/>
  </cols>
  <sheetData>
    <row r="1" spans="2:31" ht="15" x14ac:dyDescent="0.2"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</row>
    <row r="2" spans="2:31" x14ac:dyDescent="0.2">
      <c r="B2" s="190"/>
      <c r="C2" s="191" t="s">
        <v>1</v>
      </c>
      <c r="D2" s="191" t="s">
        <v>1</v>
      </c>
      <c r="E2" s="192" t="s">
        <v>1</v>
      </c>
      <c r="F2" s="191" t="s">
        <v>1</v>
      </c>
      <c r="G2" s="191" t="s">
        <v>1</v>
      </c>
      <c r="H2" s="191" t="s">
        <v>1</v>
      </c>
      <c r="I2" s="192" t="s">
        <v>1</v>
      </c>
      <c r="J2" s="191" t="s">
        <v>1</v>
      </c>
      <c r="K2" s="191" t="s">
        <v>1</v>
      </c>
      <c r="L2" s="191" t="s">
        <v>1</v>
      </c>
      <c r="M2" s="192" t="s">
        <v>1</v>
      </c>
      <c r="N2" s="192" t="s">
        <v>1</v>
      </c>
      <c r="O2" s="191" t="s">
        <v>1</v>
      </c>
      <c r="P2" s="191" t="s">
        <v>1</v>
      </c>
      <c r="Q2" s="191" t="s">
        <v>1</v>
      </c>
      <c r="R2" s="191" t="s">
        <v>1</v>
      </c>
      <c r="S2" s="191" t="s">
        <v>1</v>
      </c>
      <c r="T2" s="191" t="s">
        <v>1</v>
      </c>
      <c r="U2" s="191" t="s">
        <v>1</v>
      </c>
      <c r="V2" s="191" t="s">
        <v>1</v>
      </c>
      <c r="W2" s="191" t="s">
        <v>1</v>
      </c>
      <c r="X2" s="191" t="s">
        <v>1</v>
      </c>
      <c r="Y2" s="191" t="s">
        <v>1</v>
      </c>
      <c r="Z2" s="191" t="s">
        <v>1</v>
      </c>
      <c r="AA2" s="191" t="s">
        <v>1</v>
      </c>
      <c r="AB2" s="191" t="s">
        <v>1</v>
      </c>
      <c r="AC2" s="191" t="s">
        <v>1</v>
      </c>
    </row>
    <row r="3" spans="2:31" x14ac:dyDescent="0.2">
      <c r="B3" s="193"/>
      <c r="C3" s="194">
        <v>43465</v>
      </c>
      <c r="D3" s="194">
        <v>43555</v>
      </c>
      <c r="E3" s="194">
        <v>43646</v>
      </c>
      <c r="F3" s="194">
        <v>43738</v>
      </c>
      <c r="G3" s="194">
        <v>43830</v>
      </c>
      <c r="H3" s="194">
        <v>43921</v>
      </c>
      <c r="I3" s="194">
        <v>44012</v>
      </c>
      <c r="J3" s="194">
        <v>44104</v>
      </c>
      <c r="K3" s="194">
        <v>44196</v>
      </c>
      <c r="L3" s="194">
        <v>44286</v>
      </c>
      <c r="M3" s="194">
        <v>44377</v>
      </c>
      <c r="N3" s="194">
        <v>44469</v>
      </c>
      <c r="O3" s="194">
        <v>44561</v>
      </c>
      <c r="P3" s="194">
        <v>44651</v>
      </c>
      <c r="Q3" s="194">
        <v>44742</v>
      </c>
      <c r="R3" s="194">
        <v>44834</v>
      </c>
      <c r="S3" s="194">
        <v>44926</v>
      </c>
      <c r="T3" s="194">
        <v>45016</v>
      </c>
      <c r="U3" s="194">
        <v>45107</v>
      </c>
      <c r="V3" s="194">
        <v>45199</v>
      </c>
      <c r="W3" s="194">
        <v>45291</v>
      </c>
      <c r="X3" s="194">
        <v>45382</v>
      </c>
      <c r="Y3" s="194">
        <v>45473</v>
      </c>
      <c r="Z3" s="194">
        <v>45565</v>
      </c>
      <c r="AA3" s="194">
        <v>45657</v>
      </c>
      <c r="AB3" s="194">
        <v>45747</v>
      </c>
      <c r="AC3" s="194">
        <v>45838</v>
      </c>
    </row>
    <row r="5" spans="2:31" x14ac:dyDescent="0.2">
      <c r="B5" s="176" t="s">
        <v>328</v>
      </c>
      <c r="C5" s="179"/>
      <c r="D5" s="179"/>
      <c r="E5" s="195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</row>
    <row r="6" spans="2:31" x14ac:dyDescent="0.2">
      <c r="C6" s="196"/>
      <c r="D6" s="196"/>
      <c r="E6" s="196"/>
      <c r="F6" s="196"/>
      <c r="G6" s="196"/>
      <c r="H6" s="196"/>
      <c r="I6" s="196"/>
      <c r="J6" s="237">
        <f>100%-J7-J12</f>
        <v>0.89822994499792441</v>
      </c>
      <c r="K6" s="196"/>
      <c r="L6" s="196"/>
      <c r="M6" s="196"/>
      <c r="N6" s="237">
        <f t="shared" ref="N6:S6" si="0">100%-N7-N12</f>
        <v>0.94692528759093098</v>
      </c>
      <c r="O6" s="237">
        <f t="shared" si="0"/>
        <v>0.93989024514385666</v>
      </c>
      <c r="P6" s="237">
        <f t="shared" si="0"/>
        <v>0.93876510875400843</v>
      </c>
      <c r="Q6" s="237">
        <f t="shared" si="0"/>
        <v>0.93437414888289505</v>
      </c>
      <c r="R6" s="237">
        <f t="shared" si="0"/>
        <v>0.93502019874774378</v>
      </c>
      <c r="S6" s="237">
        <f t="shared" si="0"/>
        <v>0.93638111650988931</v>
      </c>
      <c r="T6" s="237">
        <f t="shared" ref="T6:U6" si="1">100%-T7-T12</f>
        <v>0.93710887893527972</v>
      </c>
      <c r="U6" s="237">
        <f t="shared" si="1"/>
        <v>0.94470881202000545</v>
      </c>
      <c r="V6" s="237">
        <f t="shared" ref="V6:X6" si="2">100%-V7-V12</f>
        <v>0.94893433605887689</v>
      </c>
      <c r="W6" s="237">
        <f t="shared" si="2"/>
        <v>0.95096548596524733</v>
      </c>
      <c r="X6" s="237">
        <f t="shared" si="2"/>
        <v>0.95420961341118993</v>
      </c>
      <c r="Y6" s="237">
        <f t="shared" ref="Y6:Z6" si="3">100%-Y7-Y12</f>
        <v>0.94676494884451567</v>
      </c>
      <c r="Z6" s="237">
        <f t="shared" si="3"/>
        <v>0.94054255271097242</v>
      </c>
      <c r="AA6" s="237">
        <f t="shared" ref="AA6:AB6" si="4">100%-AA7-AA12</f>
        <v>0.93968507034671245</v>
      </c>
      <c r="AB6" s="237">
        <f t="shared" si="4"/>
        <v>0.93266942925955043</v>
      </c>
      <c r="AC6" s="237">
        <f t="shared" ref="AC6" si="5">100%-AC7-AC12</f>
        <v>0.92443591947497172</v>
      </c>
    </row>
    <row r="7" spans="2:31" s="198" customFormat="1" x14ac:dyDescent="0.2">
      <c r="B7" s="197" t="s">
        <v>365</v>
      </c>
      <c r="C7" s="135">
        <f t="shared" ref="C7:N7" si="6">C32/C50</f>
        <v>4.1611233189330861E-2</v>
      </c>
      <c r="D7" s="135">
        <f t="shared" si="6"/>
        <v>4.2864389190597846E-2</v>
      </c>
      <c r="E7" s="135">
        <f t="shared" si="6"/>
        <v>4.2475888211494527E-2</v>
      </c>
      <c r="F7" s="135">
        <f t="shared" si="6"/>
        <v>4.3848931287545918E-2</v>
      </c>
      <c r="G7" s="135">
        <f t="shared" si="6"/>
        <v>4.501681610260376E-2</v>
      </c>
      <c r="H7" s="135">
        <f t="shared" si="6"/>
        <v>4.6482992150223182E-2</v>
      </c>
      <c r="I7" s="135">
        <f t="shared" si="6"/>
        <v>5.3694828257188236E-2</v>
      </c>
      <c r="J7" s="135">
        <f t="shared" si="6"/>
        <v>5.9590986924034868E-2</v>
      </c>
      <c r="K7" s="135">
        <f t="shared" si="6"/>
        <v>5.5462556851302865E-2</v>
      </c>
      <c r="L7" s="135">
        <f t="shared" si="6"/>
        <v>4.8345197730083493E-2</v>
      </c>
      <c r="M7" s="135">
        <f t="shared" si="6"/>
        <v>3.9772164764739659E-2</v>
      </c>
      <c r="N7" s="136">
        <f t="shared" si="6"/>
        <v>4.1183266249193766E-2</v>
      </c>
      <c r="O7" s="135">
        <f t="shared" ref="O7:T7" si="7">O32/O50</f>
        <v>4.8473519096049383E-2</v>
      </c>
      <c r="P7" s="135">
        <f t="shared" si="7"/>
        <v>4.8115849500123334E-2</v>
      </c>
      <c r="Q7" s="135">
        <f t="shared" si="7"/>
        <v>5.0178789502815825E-2</v>
      </c>
      <c r="R7" s="135">
        <f t="shared" si="7"/>
        <v>5.1453913135467148E-2</v>
      </c>
      <c r="S7" s="135">
        <f t="shared" si="7"/>
        <v>5.0907553236474466E-2</v>
      </c>
      <c r="T7" s="135">
        <f t="shared" si="7"/>
        <v>5.0436374583759318E-2</v>
      </c>
      <c r="U7" s="135">
        <f t="shared" ref="U7:V7" si="8">U32/U50</f>
        <v>4.3693891644171007E-2</v>
      </c>
      <c r="V7" s="135">
        <f t="shared" si="8"/>
        <v>4.0297729714429083E-2</v>
      </c>
      <c r="W7" s="135">
        <f t="shared" ref="W7:X7" si="9">W32/W50</f>
        <v>3.7618149704029026E-2</v>
      </c>
      <c r="X7" s="135">
        <f t="shared" si="9"/>
        <v>3.5501330403116683E-2</v>
      </c>
      <c r="Y7" s="135">
        <f t="shared" ref="Y7:Z7" si="10">Y32/Y50</f>
        <v>4.0757649623866694E-2</v>
      </c>
      <c r="Z7" s="135">
        <f t="shared" si="10"/>
        <v>4.5834443079002987E-2</v>
      </c>
      <c r="AA7" s="135">
        <f>AA32/AA50</f>
        <v>4.6746214972691012E-2</v>
      </c>
      <c r="AB7" s="135">
        <f>AB32/AB50</f>
        <v>5.1329867253099924E-2</v>
      </c>
      <c r="AC7" s="135">
        <f>AC32/AC50</f>
        <v>5.8980874874592873E-2</v>
      </c>
    </row>
    <row r="8" spans="2:31" s="198" customFormat="1" x14ac:dyDescent="0.2">
      <c r="B8" s="199" t="s">
        <v>362</v>
      </c>
      <c r="C8" s="162"/>
      <c r="D8" s="162"/>
      <c r="E8" s="200">
        <f t="shared" ref="E8:N8" si="11">E33/E51</f>
        <v>7.0055833088451369E-2</v>
      </c>
      <c r="F8" s="200">
        <f t="shared" si="11"/>
        <v>7.2067828544512477E-2</v>
      </c>
      <c r="G8" s="200">
        <f t="shared" si="11"/>
        <v>7.2522027335225683E-2</v>
      </c>
      <c r="H8" s="200">
        <f t="shared" si="11"/>
        <v>7.0448434650925609E-2</v>
      </c>
      <c r="I8" s="200">
        <f t="shared" si="11"/>
        <v>8.2571122185075382E-2</v>
      </c>
      <c r="J8" s="200">
        <f t="shared" si="11"/>
        <v>9.746148246997452E-2</v>
      </c>
      <c r="K8" s="200">
        <f t="shared" si="11"/>
        <v>9.2885173676455574E-2</v>
      </c>
      <c r="L8" s="200">
        <f t="shared" si="11"/>
        <v>8.5666848045986635E-2</v>
      </c>
      <c r="M8" s="200">
        <f t="shared" si="11"/>
        <v>6.7208296928366371E-2</v>
      </c>
      <c r="N8" s="200">
        <f t="shared" si="11"/>
        <v>6.752371700804001E-2</v>
      </c>
      <c r="O8" s="200">
        <f t="shared" ref="O8:P8" si="12">O33/O51</f>
        <v>9.0906422018348629E-2</v>
      </c>
      <c r="P8" s="200">
        <f t="shared" si="12"/>
        <v>9.2095209681057749E-2</v>
      </c>
      <c r="Q8" s="200">
        <f t="shared" ref="Q8:R8" si="13">Q33/Q51</f>
        <v>9.7261228388987458E-2</v>
      </c>
      <c r="R8" s="200">
        <f t="shared" si="13"/>
        <v>9.6049130836354607E-2</v>
      </c>
      <c r="S8" s="200">
        <f t="shared" ref="S8:T8" si="14">S33/S51</f>
        <v>9.0650379220081886E-2</v>
      </c>
      <c r="T8" s="200">
        <f t="shared" si="14"/>
        <v>8.7018735707503639E-2</v>
      </c>
      <c r="U8" s="200">
        <f t="shared" ref="U8:V8" si="15">U33/U51</f>
        <v>6.7818137122923672E-2</v>
      </c>
      <c r="V8" s="200">
        <f t="shared" si="15"/>
        <v>6.8120857186976344E-2</v>
      </c>
      <c r="W8" s="200">
        <f t="shared" ref="W8:X8" si="16">W33/W51</f>
        <v>7.2007190607269261E-2</v>
      </c>
      <c r="X8" s="200">
        <f t="shared" si="16"/>
        <v>4.7650361397847084E-2</v>
      </c>
      <c r="Y8" s="200">
        <f t="shared" ref="Y8:Z8" si="17">Y33/Y51</f>
        <v>5.9440445470596223E-2</v>
      </c>
      <c r="Z8" s="200">
        <f t="shared" si="17"/>
        <v>8.0141147368038124E-2</v>
      </c>
      <c r="AA8" s="200">
        <f t="shared" ref="AA8:AB8" si="18">AA33/AA51</f>
        <v>8.1840765331299622E-2</v>
      </c>
      <c r="AB8" s="200">
        <f t="shared" si="18"/>
        <v>9.1597855013990273E-2</v>
      </c>
      <c r="AC8" s="200">
        <f t="shared" ref="AC8" si="19">AC33/AC51</f>
        <v>0.10573894109353109</v>
      </c>
      <c r="AE8" s="305"/>
    </row>
    <row r="9" spans="2:31" s="198" customFormat="1" x14ac:dyDescent="0.2">
      <c r="B9" s="199" t="s">
        <v>363</v>
      </c>
      <c r="C9" s="162"/>
      <c r="D9" s="162"/>
      <c r="E9" s="200">
        <f t="shared" ref="E9:N9" si="20">E34/E52</f>
        <v>2.6605027094877998E-2</v>
      </c>
      <c r="F9" s="200">
        <f t="shared" si="20"/>
        <v>3.8246366203074346E-2</v>
      </c>
      <c r="G9" s="200">
        <f t="shared" si="20"/>
        <v>4.6590751284543812E-2</v>
      </c>
      <c r="H9" s="200">
        <f t="shared" si="20"/>
        <v>5.6957227937195452E-2</v>
      </c>
      <c r="I9" s="200">
        <f t="shared" si="20"/>
        <v>6.3241608325049173E-2</v>
      </c>
      <c r="J9" s="200">
        <f t="shared" si="20"/>
        <v>7.0748769323775801E-2</v>
      </c>
      <c r="K9" s="200">
        <f t="shared" si="20"/>
        <v>6.7503898875482235E-2</v>
      </c>
      <c r="L9" s="200">
        <f t="shared" si="20"/>
        <v>6.1847301790480945E-2</v>
      </c>
      <c r="M9" s="200">
        <f t="shared" si="20"/>
        <v>4.6012687086529773E-2</v>
      </c>
      <c r="N9" s="200">
        <f t="shared" si="20"/>
        <v>6.060629902674293E-2</v>
      </c>
      <c r="O9" s="200">
        <f t="shared" ref="O9:P9" si="21">O34/O52</f>
        <v>6.6304296893303971E-2</v>
      </c>
      <c r="P9" s="200">
        <f t="shared" si="21"/>
        <v>6.2550506196940123E-2</v>
      </c>
      <c r="Q9" s="200">
        <f t="shared" ref="Q9:R9" si="22">Q34/Q52</f>
        <v>5.7946991720643985E-2</v>
      </c>
      <c r="R9" s="200">
        <f t="shared" si="22"/>
        <v>5.9214113873295914E-2</v>
      </c>
      <c r="S9" s="200">
        <f t="shared" ref="S9:T9" si="23">S34/S52</f>
        <v>6.2937286348678956E-2</v>
      </c>
      <c r="T9" s="200">
        <f t="shared" si="23"/>
        <v>6.2299787673209095E-2</v>
      </c>
      <c r="U9" s="200">
        <f t="shared" ref="U9:V9" si="24">U34/U52</f>
        <v>5.9412142500336981E-2</v>
      </c>
      <c r="V9" s="200">
        <f t="shared" si="24"/>
        <v>5.5176857861557092E-2</v>
      </c>
      <c r="W9" s="200">
        <f t="shared" ref="W9:X9" si="25">W34/W52</f>
        <v>5.4063836545351129E-2</v>
      </c>
      <c r="X9" s="200">
        <f t="shared" si="25"/>
        <v>5.6283051316899729E-2</v>
      </c>
      <c r="Y9" s="200">
        <f t="shared" ref="Y9:Z9" si="26">Y34/Y52</f>
        <v>6.7019991525262931E-2</v>
      </c>
      <c r="Z9" s="200">
        <f t="shared" si="26"/>
        <v>7.3543637635749698E-2</v>
      </c>
      <c r="AA9" s="200">
        <f t="shared" ref="AA9:AB9" si="27">AA34/AA52</f>
        <v>7.2319187573013172E-2</v>
      </c>
      <c r="AB9" s="200">
        <f t="shared" si="27"/>
        <v>7.150439879386089E-2</v>
      </c>
      <c r="AC9" s="200">
        <f t="shared" ref="AC9" si="28">AC34/AC52</f>
        <v>7.3108660017225574E-2</v>
      </c>
      <c r="AE9" s="305"/>
    </row>
    <row r="10" spans="2:31" s="198" customFormat="1" x14ac:dyDescent="0.2">
      <c r="B10" s="199" t="s">
        <v>243</v>
      </c>
      <c r="C10" s="162"/>
      <c r="D10" s="162"/>
      <c r="E10" s="200">
        <f t="shared" ref="E10:N10" si="29">E35/E53</f>
        <v>2.4643291173425754E-2</v>
      </c>
      <c r="F10" s="200">
        <f t="shared" si="29"/>
        <v>2.5056176316680518E-2</v>
      </c>
      <c r="G10" s="200">
        <f t="shared" si="29"/>
        <v>2.4631411671228041E-2</v>
      </c>
      <c r="H10" s="200">
        <f t="shared" si="29"/>
        <v>2.4904817794062919E-2</v>
      </c>
      <c r="I10" s="200">
        <f t="shared" si="29"/>
        <v>2.8690100761479886E-2</v>
      </c>
      <c r="J10" s="200">
        <f t="shared" si="29"/>
        <v>3.2646094906083466E-2</v>
      </c>
      <c r="K10" s="200">
        <f t="shared" si="29"/>
        <v>2.9645684477343278E-2</v>
      </c>
      <c r="L10" s="200">
        <f t="shared" si="29"/>
        <v>2.4364321630480409E-2</v>
      </c>
      <c r="M10" s="200">
        <f t="shared" si="29"/>
        <v>1.6989145823501653E-2</v>
      </c>
      <c r="N10" s="200">
        <f t="shared" si="29"/>
        <v>1.4646638382448497E-2</v>
      </c>
      <c r="O10" s="200">
        <f t="shared" ref="O10:P10" si="30">O35/O53</f>
        <v>1.3889382259955242E-2</v>
      </c>
      <c r="P10" s="200">
        <f t="shared" si="30"/>
        <v>1.3507882491839712E-2</v>
      </c>
      <c r="Q10" s="200">
        <f t="shared" ref="Q10:R10" si="31">Q35/Q53</f>
        <v>1.5197222761051765E-2</v>
      </c>
      <c r="R10" s="200">
        <f t="shared" si="31"/>
        <v>1.7384381014475491E-2</v>
      </c>
      <c r="S10" s="200">
        <f t="shared" ref="S10:T10" si="32">S35/S53</f>
        <v>1.9496295583565863E-2</v>
      </c>
      <c r="T10" s="200">
        <f t="shared" si="32"/>
        <v>2.136379937496798E-2</v>
      </c>
      <c r="U10" s="200">
        <f t="shared" ref="U10:V10" si="33">U35/U53</f>
        <v>1.9372115821437965E-2</v>
      </c>
      <c r="V10" s="200">
        <f t="shared" si="33"/>
        <v>1.7058115834776892E-2</v>
      </c>
      <c r="W10" s="200">
        <f t="shared" ref="W10:X10" si="34">W35/W53</f>
        <v>1.559563866365124E-2</v>
      </c>
      <c r="X10" s="200">
        <f t="shared" si="34"/>
        <v>1.6169890775101989E-2</v>
      </c>
      <c r="Y10" s="200">
        <f t="shared" ref="Y10:Z10" si="35">Y35/Y53</f>
        <v>1.8179280008205036E-2</v>
      </c>
      <c r="Z10" s="200">
        <f t="shared" si="35"/>
        <v>1.9768414060084068E-2</v>
      </c>
      <c r="AA10" s="200">
        <f t="shared" ref="AA10:AB10" si="36">AA35/AA53</f>
        <v>2.3162618207228085E-2</v>
      </c>
      <c r="AB10" s="200">
        <f t="shared" si="36"/>
        <v>2.877024818102283E-2</v>
      </c>
      <c r="AC10" s="200">
        <f t="shared" ref="AC10" si="37">AC35/AC53</f>
        <v>3.8063633066733223E-2</v>
      </c>
      <c r="AE10" s="305"/>
    </row>
    <row r="11" spans="2:31" s="198" customFormat="1" x14ac:dyDescent="0.2">
      <c r="B11" s="199" t="s">
        <v>329</v>
      </c>
      <c r="C11" s="162"/>
      <c r="D11" s="162"/>
      <c r="E11" s="200">
        <f t="shared" ref="E11:N11" si="38">E36/E54</f>
        <v>5.360544217687075E-2</v>
      </c>
      <c r="F11" s="200">
        <f t="shared" si="38"/>
        <v>5.1425290566857532E-2</v>
      </c>
      <c r="G11" s="200">
        <f t="shared" si="38"/>
        <v>4.9922111512800162E-2</v>
      </c>
      <c r="H11" s="200">
        <f t="shared" si="38"/>
        <v>4.9715018523795951E-2</v>
      </c>
      <c r="I11" s="200">
        <f t="shared" si="38"/>
        <v>5.8207135159661957E-2</v>
      </c>
      <c r="J11" s="200">
        <f t="shared" si="38"/>
        <v>5.7233533256233024E-2</v>
      </c>
      <c r="K11" s="200">
        <f t="shared" si="38"/>
        <v>4.9548183637576564E-2</v>
      </c>
      <c r="L11" s="200">
        <f t="shared" si="38"/>
        <v>3.8876889848812095E-2</v>
      </c>
      <c r="M11" s="200">
        <f t="shared" si="38"/>
        <v>3.6072559651130015E-2</v>
      </c>
      <c r="N11" s="200">
        <f t="shared" si="38"/>
        <v>2.975187058232041E-2</v>
      </c>
      <c r="O11" s="200">
        <f t="shared" ref="O11:P11" si="39">O36/O54</f>
        <v>3.0488233227959256E-2</v>
      </c>
      <c r="P11" s="200">
        <f t="shared" si="39"/>
        <v>3.1529276291085685E-2</v>
      </c>
      <c r="Q11" s="200">
        <f t="shared" ref="Q11:R11" si="40">Q36/Q54</f>
        <v>3.642028032616644E-2</v>
      </c>
      <c r="R11" s="200">
        <f t="shared" si="40"/>
        <v>4.0052363470787444E-2</v>
      </c>
      <c r="S11" s="200">
        <f t="shared" ref="S11:T11" si="41">S36/S54</f>
        <v>3.9070262025853501E-2</v>
      </c>
      <c r="T11" s="200">
        <f t="shared" si="41"/>
        <v>4.0293852300554198E-2</v>
      </c>
      <c r="U11" s="200">
        <f t="shared" ref="U11:V11" si="42">U36/U54</f>
        <v>3.8862550245115486E-2</v>
      </c>
      <c r="V11" s="200">
        <f t="shared" si="42"/>
        <v>3.5289902926869274E-2</v>
      </c>
      <c r="W11" s="200">
        <f t="shared" ref="W11:X11" si="43">W36/W54</f>
        <v>2.8278133635262354E-2</v>
      </c>
      <c r="X11" s="200">
        <f t="shared" si="43"/>
        <v>2.926104609846767E-2</v>
      </c>
      <c r="Y11" s="200">
        <f t="shared" ref="Y11:Z11" si="44">Y36/Y54</f>
        <v>3.0549757580737941E-2</v>
      </c>
      <c r="Z11" s="200">
        <f t="shared" si="44"/>
        <v>2.9152765031414882E-2</v>
      </c>
      <c r="AA11" s="200">
        <f t="shared" ref="AA11:AB11" si="45">AA36/AA54</f>
        <v>3.0252033151809628E-2</v>
      </c>
      <c r="AB11" s="200">
        <f t="shared" si="45"/>
        <v>3.2804670437839384E-2</v>
      </c>
      <c r="AC11" s="200">
        <f t="shared" ref="AC11" si="46">AC36/AC54</f>
        <v>3.819582395267735E-2</v>
      </c>
      <c r="AE11" s="305"/>
    </row>
    <row r="12" spans="2:31" x14ac:dyDescent="0.2">
      <c r="B12" s="197" t="s">
        <v>364</v>
      </c>
      <c r="C12" s="135"/>
      <c r="D12" s="135"/>
      <c r="E12" s="135"/>
      <c r="F12" s="135">
        <f t="shared" ref="F12:N12" si="47">F37/F50</f>
        <v>1.2093015969986763E-2</v>
      </c>
      <c r="G12" s="135">
        <f t="shared" si="47"/>
        <v>1.1078200348724384E-2</v>
      </c>
      <c r="H12" s="135">
        <f t="shared" si="47"/>
        <v>4.5426560510445378E-2</v>
      </c>
      <c r="I12" s="135">
        <f t="shared" si="47"/>
        <v>5.8347328230893024E-2</v>
      </c>
      <c r="J12" s="135">
        <f t="shared" si="47"/>
        <v>4.2179068078040678E-2</v>
      </c>
      <c r="K12" s="135">
        <f t="shared" si="47"/>
        <v>1.6309582815086363E-2</v>
      </c>
      <c r="L12" s="135">
        <f t="shared" si="47"/>
        <v>1.5299450273088235E-2</v>
      </c>
      <c r="M12" s="135">
        <f t="shared" si="47"/>
        <v>1.1917569229483059E-2</v>
      </c>
      <c r="N12" s="135">
        <f t="shared" si="47"/>
        <v>1.1891446159875248E-2</v>
      </c>
      <c r="O12" s="135">
        <f t="shared" ref="O12:P12" si="48">O37/O50</f>
        <v>1.1636235760094022E-2</v>
      </c>
      <c r="P12" s="135">
        <f t="shared" si="48"/>
        <v>1.3119041745868218E-2</v>
      </c>
      <c r="Q12" s="135">
        <f t="shared" ref="Q12:R12" si="49">Q37/Q50</f>
        <v>1.5447061614289104E-2</v>
      </c>
      <c r="R12" s="135">
        <f t="shared" si="49"/>
        <v>1.3525888116789094E-2</v>
      </c>
      <c r="S12" s="135">
        <f t="shared" ref="S12:T12" si="50">S37/S50</f>
        <v>1.2711330253636197E-2</v>
      </c>
      <c r="T12" s="135">
        <f t="shared" si="50"/>
        <v>1.2454746480961048E-2</v>
      </c>
      <c r="U12" s="135">
        <f t="shared" ref="U12:V12" si="51">U37/U50</f>
        <v>1.159729633582355E-2</v>
      </c>
      <c r="V12" s="135">
        <f t="shared" si="51"/>
        <v>1.076793422669403E-2</v>
      </c>
      <c r="W12" s="135">
        <f t="shared" ref="W12:X12" si="52">W37/W50</f>
        <v>1.1416364330723697E-2</v>
      </c>
      <c r="X12" s="135">
        <f t="shared" si="52"/>
        <v>1.0289056185693399E-2</v>
      </c>
      <c r="Y12" s="135">
        <f t="shared" ref="Y12:Z12" si="53">Y37/Y50</f>
        <v>1.2477401531617542E-2</v>
      </c>
      <c r="Z12" s="135">
        <f t="shared" si="53"/>
        <v>1.3623004210024625E-2</v>
      </c>
      <c r="AA12" s="135">
        <f t="shared" ref="AA12:AB12" si="54">AA37/AA50</f>
        <v>1.3568714680596493E-2</v>
      </c>
      <c r="AB12" s="135">
        <f t="shared" si="54"/>
        <v>1.6000703487349582E-2</v>
      </c>
      <c r="AC12" s="135">
        <f t="shared" ref="AC12" si="55">AC37/AC50</f>
        <v>1.6583205650435369E-2</v>
      </c>
    </row>
    <row r="13" spans="2:31" x14ac:dyDescent="0.2">
      <c r="B13" s="199" t="s">
        <v>362</v>
      </c>
      <c r="C13" s="162"/>
      <c r="D13" s="162"/>
      <c r="E13" s="200"/>
      <c r="F13" s="200"/>
      <c r="G13" s="200">
        <f t="shared" ref="G13:N16" si="56">G38/G51</f>
        <v>1.7211675718247003E-2</v>
      </c>
      <c r="H13" s="200">
        <f t="shared" si="56"/>
        <v>5.260067373365887E-2</v>
      </c>
      <c r="I13" s="200">
        <f t="shared" si="56"/>
        <v>7.0791017473033499E-2</v>
      </c>
      <c r="J13" s="200">
        <f t="shared" si="56"/>
        <v>5.2317117554288486E-2</v>
      </c>
      <c r="K13" s="200">
        <f t="shared" si="56"/>
        <v>2.4858855967438399E-2</v>
      </c>
      <c r="L13" s="200">
        <f t="shared" si="56"/>
        <v>2.3453741297280704E-2</v>
      </c>
      <c r="M13" s="200">
        <f t="shared" si="56"/>
        <v>2.0560768872902223E-2</v>
      </c>
      <c r="N13" s="200">
        <f t="shared" si="56"/>
        <v>1.7774838269640162E-2</v>
      </c>
      <c r="O13" s="200">
        <f t="shared" ref="O13:P13" si="57">O38/O51</f>
        <v>2.1504587155963303E-2</v>
      </c>
      <c r="P13" s="200">
        <f t="shared" si="57"/>
        <v>2.4450055667537458E-2</v>
      </c>
      <c r="Q13" s="200">
        <f t="shared" ref="Q13:R13" si="58">Q38/Q51</f>
        <v>2.4967139050300596E-2</v>
      </c>
      <c r="R13" s="200">
        <f t="shared" si="58"/>
        <v>2.1001916157759062E-2</v>
      </c>
      <c r="S13" s="200">
        <f t="shared" ref="S13:T13" si="59">S38/S51</f>
        <v>1.9726156117860258E-2</v>
      </c>
      <c r="T13" s="200">
        <f t="shared" si="59"/>
        <v>1.9939286144135229E-2</v>
      </c>
      <c r="U13" s="200">
        <f t="shared" ref="U13:V13" si="60">U38/U51</f>
        <v>1.9619089983260563E-2</v>
      </c>
      <c r="V13" s="200">
        <f t="shared" si="60"/>
        <v>2.0211494358053427E-2</v>
      </c>
      <c r="W13" s="200">
        <f t="shared" ref="W13:X13" si="61">W38/W51</f>
        <v>2.2302117858547271E-2</v>
      </c>
      <c r="X13" s="200">
        <f t="shared" si="61"/>
        <v>1.1969231449349043E-2</v>
      </c>
      <c r="Y13" s="200">
        <f t="shared" ref="Y13:Z13" si="62">Y38/Y51</f>
        <v>1.9703925030558195E-2</v>
      </c>
      <c r="Z13" s="200">
        <f t="shared" si="62"/>
        <v>2.3343603175535948E-2</v>
      </c>
      <c r="AA13" s="200">
        <f t="shared" ref="AA13:AB13" si="63">AA38/AA51</f>
        <v>2.5865259521780089E-2</v>
      </c>
      <c r="AB13" s="200">
        <f t="shared" si="63"/>
        <v>2.5114116219034758E-2</v>
      </c>
      <c r="AC13" s="200">
        <f t="shared" ref="AC13" si="64">AC38/AC51</f>
        <v>2.5653152952165081E-2</v>
      </c>
    </row>
    <row r="14" spans="2:31" x14ac:dyDescent="0.2">
      <c r="B14" s="199" t="s">
        <v>363</v>
      </c>
      <c r="C14" s="162"/>
      <c r="D14" s="162"/>
      <c r="E14" s="200"/>
      <c r="F14" s="200"/>
      <c r="G14" s="200">
        <f t="shared" si="56"/>
        <v>1.2961162801462759E-2</v>
      </c>
      <c r="H14" s="200">
        <f t="shared" si="56"/>
        <v>4.7319978343259336E-2</v>
      </c>
      <c r="I14" s="200">
        <f t="shared" si="56"/>
        <v>5.7636582838046492E-2</v>
      </c>
      <c r="J14" s="200">
        <f t="shared" si="56"/>
        <v>3.7619829000777268E-2</v>
      </c>
      <c r="K14" s="200">
        <f t="shared" si="56"/>
        <v>1.6284987277353689E-2</v>
      </c>
      <c r="L14" s="200">
        <f t="shared" si="56"/>
        <v>1.5563291238038745E-2</v>
      </c>
      <c r="M14" s="200">
        <f t="shared" si="56"/>
        <v>9.119343407274676E-3</v>
      </c>
      <c r="N14" s="200">
        <f t="shared" si="56"/>
        <v>1.7277870006845056E-2</v>
      </c>
      <c r="O14" s="200">
        <f t="shared" ref="O14:P14" si="65">O39/O52</f>
        <v>1.3513893444543366E-2</v>
      </c>
      <c r="P14" s="200">
        <f t="shared" si="65"/>
        <v>1.1177191628455986E-2</v>
      </c>
      <c r="Q14" s="200">
        <f t="shared" ref="Q14:R14" si="66">Q39/Q52</f>
        <v>1.5385661583448089E-2</v>
      </c>
      <c r="R14" s="200">
        <f t="shared" si="66"/>
        <v>1.4611066559743384E-2</v>
      </c>
      <c r="S14" s="200">
        <f t="shared" ref="S14:T14" si="67">S39/S52</f>
        <v>1.2579470304463117E-2</v>
      </c>
      <c r="T14" s="200">
        <f t="shared" si="67"/>
        <v>1.0586746961211521E-2</v>
      </c>
      <c r="U14" s="200">
        <f t="shared" ref="U14:V14" si="68">U39/U52</f>
        <v>1.2630927933142508E-2</v>
      </c>
      <c r="V14" s="200">
        <f t="shared" si="68"/>
        <v>1.4230924505450141E-2</v>
      </c>
      <c r="W14" s="200">
        <f t="shared" ref="W14:X14" si="69">W39/W52</f>
        <v>1.4899133530806562E-2</v>
      </c>
      <c r="X14" s="200">
        <f t="shared" si="69"/>
        <v>1.1755157776761503E-2</v>
      </c>
      <c r="Y14" s="200">
        <f t="shared" ref="Y14:Z14" si="70">Y39/Y52</f>
        <v>1.6766065634941214E-2</v>
      </c>
      <c r="Z14" s="200">
        <f t="shared" si="70"/>
        <v>2.0004258814224438E-2</v>
      </c>
      <c r="AA14" s="200">
        <f t="shared" ref="AA14:AB14" si="71">AA39/AA52</f>
        <v>1.5209873116115526E-2</v>
      </c>
      <c r="AB14" s="200">
        <f t="shared" si="71"/>
        <v>1.7267665759427196E-2</v>
      </c>
      <c r="AC14" s="200">
        <f t="shared" ref="AC14" si="72">AC39/AC52</f>
        <v>1.7736782152085129E-2</v>
      </c>
    </row>
    <row r="15" spans="2:31" x14ac:dyDescent="0.2">
      <c r="B15" s="199" t="s">
        <v>243</v>
      </c>
      <c r="C15" s="162"/>
      <c r="D15" s="162"/>
      <c r="E15" s="200"/>
      <c r="F15" s="200"/>
      <c r="G15" s="200">
        <f t="shared" si="56"/>
        <v>8.1123765241360377E-3</v>
      </c>
      <c r="H15" s="200">
        <f t="shared" si="56"/>
        <v>5.0630254105478105E-2</v>
      </c>
      <c r="I15" s="200">
        <f t="shared" si="56"/>
        <v>6.0110760710714563E-2</v>
      </c>
      <c r="J15" s="200">
        <f t="shared" si="56"/>
        <v>4.6944648709498778E-2</v>
      </c>
      <c r="K15" s="200">
        <f t="shared" si="56"/>
        <v>1.4859577907168965E-2</v>
      </c>
      <c r="L15" s="200">
        <f t="shared" si="56"/>
        <v>1.3584359677404949E-2</v>
      </c>
      <c r="M15" s="200">
        <f t="shared" si="56"/>
        <v>1.2518317975211744E-2</v>
      </c>
      <c r="N15" s="200">
        <f t="shared" si="56"/>
        <v>5.4886672017734972E-3</v>
      </c>
      <c r="O15" s="200">
        <f t="shared" ref="O15:P15" si="73">O40/O53</f>
        <v>5.2573620830521119E-3</v>
      </c>
      <c r="P15" s="200">
        <f t="shared" si="73"/>
        <v>7.5838599902771026E-3</v>
      </c>
      <c r="Q15" s="200">
        <f t="shared" ref="Q15:R15" si="74">Q40/Q53</f>
        <v>8.7758610310298933E-3</v>
      </c>
      <c r="R15" s="200">
        <f t="shared" si="74"/>
        <v>9.090282174897029E-3</v>
      </c>
      <c r="S15" s="200">
        <f t="shared" ref="S15:T15" si="75">S40/S53</f>
        <v>9.8263254113345518E-3</v>
      </c>
      <c r="T15" s="200">
        <f t="shared" si="75"/>
        <v>1.0975061336247873E-2</v>
      </c>
      <c r="U15" s="200">
        <f t="shared" ref="U15:V15" si="76">U40/U53</f>
        <v>8.5311909714750264E-3</v>
      </c>
      <c r="V15" s="200">
        <f t="shared" si="76"/>
        <v>6.0898217703893266E-3</v>
      </c>
      <c r="W15" s="200">
        <f t="shared" ref="W15:X15" si="77">W40/W53</f>
        <v>6.817805725632964E-3</v>
      </c>
      <c r="X15" s="200">
        <f t="shared" si="77"/>
        <v>8.1293591262008164E-3</v>
      </c>
      <c r="Y15" s="200">
        <f t="shared" ref="Y15:Z15" si="78">Y40/Y53</f>
        <v>7.5440735718111471E-3</v>
      </c>
      <c r="Z15" s="200">
        <f t="shared" si="78"/>
        <v>7.9829574738578182E-3</v>
      </c>
      <c r="AA15" s="200">
        <f t="shared" ref="AA15:AB15" si="79">AA40/AA53</f>
        <v>8.8630427324522913E-3</v>
      </c>
      <c r="AB15" s="200">
        <f t="shared" si="79"/>
        <v>1.323847644371526E-2</v>
      </c>
      <c r="AC15" s="200">
        <f t="shared" ref="AC15" si="80">AC40/AC53</f>
        <v>1.4518072524070051E-2</v>
      </c>
    </row>
    <row r="16" spans="2:31" x14ac:dyDescent="0.2">
      <c r="B16" s="199" t="s">
        <v>329</v>
      </c>
      <c r="C16" s="162"/>
      <c r="D16" s="162"/>
      <c r="E16" s="200"/>
      <c r="F16" s="200"/>
      <c r="G16" s="200">
        <f t="shared" si="56"/>
        <v>8.8322605296417122E-3</v>
      </c>
      <c r="H16" s="200">
        <f t="shared" si="56"/>
        <v>2.9794813337133085E-2</v>
      </c>
      <c r="I16" s="200">
        <f t="shared" si="56"/>
        <v>4.5034314559582553E-2</v>
      </c>
      <c r="J16" s="200">
        <f t="shared" si="56"/>
        <v>2.9679137193727979E-2</v>
      </c>
      <c r="K16" s="200">
        <f t="shared" si="56"/>
        <v>1.1134695857844623E-2</v>
      </c>
      <c r="L16" s="200">
        <f t="shared" si="56"/>
        <v>1.076590795813258E-2</v>
      </c>
      <c r="M16" s="200">
        <f t="shared" si="56"/>
        <v>7.9009766369861883E-3</v>
      </c>
      <c r="N16" s="200">
        <f t="shared" si="56"/>
        <v>8.8131783633513729E-3</v>
      </c>
      <c r="O16" s="200">
        <f t="shared" ref="O16:P16" si="81">O41/O54</f>
        <v>7.5039116135006542E-3</v>
      </c>
      <c r="P16" s="200">
        <f t="shared" si="81"/>
        <v>9.7003529676821781E-3</v>
      </c>
      <c r="Q16" s="200">
        <f t="shared" ref="Q16:R16" si="82">Q41/Q54</f>
        <v>1.3475565168767167E-2</v>
      </c>
      <c r="R16" s="200">
        <f t="shared" si="82"/>
        <v>1.0609294516064771E-2</v>
      </c>
      <c r="S16" s="200">
        <f t="shared" ref="S16:T16" si="83">S41/S54</f>
        <v>9.7635376443988547E-3</v>
      </c>
      <c r="T16" s="200">
        <f t="shared" si="83"/>
        <v>9.3259440649568238E-3</v>
      </c>
      <c r="U16" s="200">
        <f t="shared" ref="U16:V16" si="84">U41/U54</f>
        <v>7.5171913039764233E-3</v>
      </c>
      <c r="V16" s="200">
        <f t="shared" si="84"/>
        <v>6.5995916799392266E-3</v>
      </c>
      <c r="W16" s="200">
        <f t="shared" ref="W16:X16" si="85">W41/W54</f>
        <v>6.829032692262013E-3</v>
      </c>
      <c r="X16" s="200">
        <f t="shared" si="85"/>
        <v>9.6489317254161138E-3</v>
      </c>
      <c r="Y16" s="200">
        <f t="shared" ref="Y16:Z16" si="86">Y41/Y54</f>
        <v>7.1953324020050946E-3</v>
      </c>
      <c r="Z16" s="200">
        <f t="shared" si="86"/>
        <v>7.2989340118661391E-3</v>
      </c>
      <c r="AA16" s="200">
        <f t="shared" ref="AA16:AB16" si="87">AA41/AA54</f>
        <v>6.5676485056657833E-3</v>
      </c>
      <c r="AB16" s="200">
        <f t="shared" si="87"/>
        <v>1.0177634132040144E-2</v>
      </c>
      <c r="AC16" s="200">
        <f t="shared" ref="AC16" si="88">AC41/AC54</f>
        <v>1.0520129784134552E-2</v>
      </c>
    </row>
    <row r="17" spans="2:30" x14ac:dyDescent="0.2">
      <c r="B17" s="197" t="s">
        <v>330</v>
      </c>
      <c r="C17" s="135">
        <f t="shared" ref="C17:N17" si="89">C42/SUM(C59:C61)</f>
        <v>2.4470778891927478E-2</v>
      </c>
      <c r="D17" s="135">
        <f t="shared" si="89"/>
        <v>2.4820395130712433E-2</v>
      </c>
      <c r="E17" s="135">
        <f t="shared" si="89"/>
        <v>2.7046462179961407E-2</v>
      </c>
      <c r="F17" s="135">
        <f t="shared" si="89"/>
        <v>2.6337115072933549E-2</v>
      </c>
      <c r="G17" s="135">
        <f t="shared" si="89"/>
        <v>2.5658747690486837E-2</v>
      </c>
      <c r="H17" s="135">
        <f t="shared" si="89"/>
        <v>2.1315938353121643E-2</v>
      </c>
      <c r="I17" s="136">
        <f t="shared" si="89"/>
        <v>1.790293911229757E-2</v>
      </c>
      <c r="J17" s="136">
        <f t="shared" si="89"/>
        <v>1.5571906171215609E-2</v>
      </c>
      <c r="K17" s="136">
        <f t="shared" si="89"/>
        <v>7.609936097846842E-3</v>
      </c>
      <c r="L17" s="136">
        <f t="shared" si="89"/>
        <v>9.6434905320693029E-3</v>
      </c>
      <c r="M17" s="136">
        <f t="shared" si="89"/>
        <v>1.1123450138722435E-2</v>
      </c>
      <c r="N17" s="136">
        <f t="shared" si="89"/>
        <v>1.252289530383271E-2</v>
      </c>
      <c r="O17" s="136">
        <f t="shared" ref="O17:P17" si="90">O42/SUM(O59:O61)</f>
        <v>1.5728469566893829E-2</v>
      </c>
      <c r="P17" s="136">
        <f t="shared" si="90"/>
        <v>2.8332601755156048E-2</v>
      </c>
      <c r="Q17" s="136">
        <f t="shared" ref="Q17:R17" si="91">Q42/SUM(Q59:Q61)</f>
        <v>3.5243877025668682E-2</v>
      </c>
      <c r="R17" s="136">
        <f t="shared" si="91"/>
        <v>3.4062096159581168E-2</v>
      </c>
      <c r="S17" s="136">
        <f t="shared" ref="S17:T17" si="92">S42/SUM(S59:S61)</f>
        <v>3.2713321727915919E-2</v>
      </c>
      <c r="T17" s="136">
        <f t="shared" si="92"/>
        <v>3.4311500483203923E-2</v>
      </c>
      <c r="U17" s="136">
        <f t="shared" ref="U17:V17" si="93">U42/SUM(U59:U61)</f>
        <v>3.8104206531926275E-2</v>
      </c>
      <c r="V17" s="136">
        <f t="shared" si="93"/>
        <v>3.2496118169134593E-2</v>
      </c>
      <c r="W17" s="136">
        <f t="shared" ref="W17:X17" si="94">W42/SUM(W59:W61)</f>
        <v>2.9920183677290761E-2</v>
      </c>
      <c r="X17" s="136">
        <f t="shared" si="94"/>
        <v>2.3882654738767949E-2</v>
      </c>
      <c r="Y17" s="136">
        <f t="shared" ref="Y17:Z17" si="95">Y42/SUM(Y59:Y61)</f>
        <v>2.6186048707180404E-2</v>
      </c>
      <c r="Z17" s="136">
        <f t="shared" si="95"/>
        <v>2.3776599654526075E-2</v>
      </c>
      <c r="AA17" s="136">
        <f t="shared" ref="AA17:AB17" si="96">AA42/SUM(AA59:AA61)</f>
        <v>2.2789468453373311E-2</v>
      </c>
      <c r="AB17" s="136">
        <f t="shared" si="96"/>
        <v>3.5927135963355783E-2</v>
      </c>
      <c r="AC17" s="136">
        <f t="shared" ref="AC17" si="97">AC42/SUM(AC59:AC61)</f>
        <v>3.3107489874222108E-2</v>
      </c>
    </row>
    <row r="18" spans="2:30" x14ac:dyDescent="0.2">
      <c r="B18" s="197" t="s">
        <v>331</v>
      </c>
      <c r="C18" s="135"/>
      <c r="D18" s="135"/>
      <c r="E18" s="135"/>
      <c r="F18" s="135">
        <f t="shared" ref="F18:N18" si="98">F44/SUM(F59:F61)</f>
        <v>3.8680105348460295E-2</v>
      </c>
      <c r="G18" s="135">
        <f t="shared" si="98"/>
        <v>3.1359687758337966E-2</v>
      </c>
      <c r="H18" s="135">
        <f t="shared" si="98"/>
        <v>3.3743274696151057E-2</v>
      </c>
      <c r="I18" s="135">
        <f t="shared" si="98"/>
        <v>3.0857071644551721E-2</v>
      </c>
      <c r="J18" s="135">
        <f t="shared" si="98"/>
        <v>3.1390441740655486E-2</v>
      </c>
      <c r="K18" s="135">
        <f t="shared" si="98"/>
        <v>1.3475811675111247E-2</v>
      </c>
      <c r="L18" s="135">
        <f t="shared" si="98"/>
        <v>6.6175993702210266E-3</v>
      </c>
      <c r="M18" s="135">
        <f t="shared" si="98"/>
        <v>4.2734572855849615E-3</v>
      </c>
      <c r="N18" s="135">
        <f t="shared" si="98"/>
        <v>6.5473637168762241E-2</v>
      </c>
      <c r="O18" s="135">
        <f t="shared" ref="O18:P18" si="99">O44/SUM(O59:O61)</f>
        <v>3.6139404862403274E-2</v>
      </c>
      <c r="P18" s="135">
        <f t="shared" si="99"/>
        <v>0.10799830737020277</v>
      </c>
      <c r="Q18" s="135">
        <f t="shared" ref="Q18:R18" si="100">Q44/SUM(Q59:Q61)</f>
        <v>8.5329378018583438E-2</v>
      </c>
      <c r="R18" s="135">
        <f t="shared" si="100"/>
        <v>9.4311938765366643E-2</v>
      </c>
      <c r="S18" s="135">
        <f t="shared" ref="S18:T18" si="101">S44/SUM(S59:S61)</f>
        <v>7.3897314913843618E-2</v>
      </c>
      <c r="T18" s="135">
        <f t="shared" si="101"/>
        <v>7.382045957806703E-2</v>
      </c>
      <c r="U18" s="135">
        <f t="shared" ref="U18:V18" si="102">U44/SUM(U59:U61)</f>
        <v>6.8268314561054866E-2</v>
      </c>
      <c r="V18" s="135">
        <f t="shared" si="102"/>
        <v>4.529409853401193E-2</v>
      </c>
      <c r="W18" s="135">
        <f t="shared" ref="W18:X18" si="103">W44/SUM(W59:W61)</f>
        <v>3.8860801803173403E-2</v>
      </c>
      <c r="X18" s="135">
        <f t="shared" si="103"/>
        <v>3.5027622330953613E-2</v>
      </c>
      <c r="Y18" s="135">
        <f t="shared" ref="Y18:Z18" si="104">Y44/SUM(Y59:Y61)</f>
        <v>2.4810157144150566E-2</v>
      </c>
      <c r="Z18" s="135">
        <f t="shared" si="104"/>
        <v>2.7719075795998874E-2</v>
      </c>
      <c r="AA18" s="135">
        <f t="shared" ref="AA18:AB18" si="105">AA44/SUM(AA59:AA61)</f>
        <v>4.3457537721151143E-2</v>
      </c>
      <c r="AB18" s="135">
        <f t="shared" si="105"/>
        <v>3.6603971009508615E-2</v>
      </c>
      <c r="AC18" s="135">
        <f t="shared" ref="AC18" si="106">AC44/SUM(AC59:AC61)</f>
        <v>4.8401321600764484E-2</v>
      </c>
    </row>
    <row r="19" spans="2:30" x14ac:dyDescent="0.2">
      <c r="B19" s="201" t="s">
        <v>332</v>
      </c>
      <c r="C19" s="202">
        <f t="shared" ref="C19:J19" si="107">C45/C64</f>
        <v>2.3607509705886567E-2</v>
      </c>
      <c r="D19" s="202">
        <f t="shared" si="107"/>
        <v>2.5343004144633415E-2</v>
      </c>
      <c r="E19" s="202">
        <f t="shared" si="107"/>
        <v>2.7399925069886741E-2</v>
      </c>
      <c r="F19" s="202">
        <f t="shared" si="107"/>
        <v>2.8573918044071136E-2</v>
      </c>
      <c r="G19" s="202">
        <f t="shared" si="107"/>
        <v>2.9633515257453599E-2</v>
      </c>
      <c r="H19" s="202">
        <f>H45/H64</f>
        <v>2.7837546078045863E-2</v>
      </c>
      <c r="I19" s="202">
        <f t="shared" si="107"/>
        <v>2.9359680822647685E-2</v>
      </c>
      <c r="J19" s="202">
        <f t="shared" si="107"/>
        <v>3.217131460123767E-2</v>
      </c>
      <c r="K19" s="202">
        <f t="shared" ref="K19:P19" si="108">K45/K64</f>
        <v>2.7584444235192834E-2</v>
      </c>
      <c r="L19" s="202">
        <f t="shared" si="108"/>
        <v>2.4893024601328303E-2</v>
      </c>
      <c r="M19" s="202">
        <f t="shared" si="108"/>
        <v>2.3308700318916457E-2</v>
      </c>
      <c r="N19" s="295">
        <f t="shared" si="108"/>
        <v>2.4512392156034509E-2</v>
      </c>
      <c r="O19" s="202">
        <f t="shared" si="108"/>
        <v>2.9519614381616835E-2</v>
      </c>
      <c r="P19" s="202">
        <f t="shared" si="108"/>
        <v>3.6763380789331411E-2</v>
      </c>
      <c r="Q19" s="202">
        <f t="shared" ref="Q19:R19" si="109">Q45/Q64</f>
        <v>4.1779134094667929E-2</v>
      </c>
      <c r="R19" s="202">
        <f t="shared" si="109"/>
        <v>4.1445532177757489E-2</v>
      </c>
      <c r="S19" s="202">
        <f t="shared" ref="S19:T19" si="110">S45/S64</f>
        <v>4.0271168514685908E-2</v>
      </c>
      <c r="T19" s="202">
        <f t="shared" si="110"/>
        <v>4.0987406395581967E-2</v>
      </c>
      <c r="U19" s="202">
        <f t="shared" ref="U19:V19" si="111">U45/U64</f>
        <v>4.0516407562947158E-2</v>
      </c>
      <c r="V19" s="202">
        <f t="shared" si="111"/>
        <v>3.5550456180376395E-2</v>
      </c>
      <c r="W19" s="202">
        <f t="shared" ref="W19:X19" si="112">W45/W64</f>
        <v>3.3143798978592404E-2</v>
      </c>
      <c r="X19" s="202">
        <f t="shared" si="112"/>
        <v>2.9348801226819172E-2</v>
      </c>
      <c r="Y19" s="202">
        <f t="shared" ref="Y19:Z19" si="113">Y45/Y64</f>
        <v>3.3119615396577845E-2</v>
      </c>
      <c r="Z19" s="202">
        <f t="shared" si="113"/>
        <v>3.4685524036588235E-2</v>
      </c>
      <c r="AA19" s="202">
        <f t="shared" ref="AA19:AB19" si="114">AA45/AA64</f>
        <v>3.4425422248421177E-2</v>
      </c>
      <c r="AB19" s="202">
        <f t="shared" si="114"/>
        <v>4.3637643909827925E-2</v>
      </c>
      <c r="AC19" s="202">
        <f t="shared" ref="AC19" si="115">AC45/AC64</f>
        <v>4.574988110682951E-2</v>
      </c>
      <c r="AD19" s="203"/>
    </row>
    <row r="20" spans="2:30" s="206" customFormat="1" x14ac:dyDescent="0.2">
      <c r="B20" s="201" t="s">
        <v>390</v>
      </c>
      <c r="C20" s="205"/>
      <c r="D20" s="205"/>
      <c r="E20" s="205"/>
      <c r="F20" s="205"/>
      <c r="G20" s="202">
        <f t="shared" ref="G20:N20" si="116">G46/G64</f>
        <v>1.6409347358866292E-2</v>
      </c>
      <c r="H20" s="202">
        <f t="shared" si="116"/>
        <v>3.2213027476727184E-2</v>
      </c>
      <c r="I20" s="202">
        <f t="shared" si="116"/>
        <v>3.6817610720650568E-2</v>
      </c>
      <c r="J20" s="202">
        <f t="shared" si="116"/>
        <v>3.1117230692789981E-2</v>
      </c>
      <c r="K20" s="202">
        <f t="shared" si="116"/>
        <v>1.350300649726254E-2</v>
      </c>
      <c r="L20" s="202">
        <f t="shared" si="116"/>
        <v>9.7995491966298229E-3</v>
      </c>
      <c r="M20" s="202">
        <f t="shared" si="116"/>
        <v>7.4796719716450069E-3</v>
      </c>
      <c r="N20" s="202">
        <f t="shared" si="116"/>
        <v>4.0452707055133742E-2</v>
      </c>
      <c r="O20" s="202">
        <f t="shared" ref="O20:P20" si="117">O46/O64</f>
        <v>2.4784846826915011E-2</v>
      </c>
      <c r="P20" s="202">
        <f t="shared" si="117"/>
        <v>6.2522216582539869E-2</v>
      </c>
      <c r="Q20" s="202">
        <f t="shared" ref="Q20:R20" si="118">Q46/Q64</f>
        <v>5.2249443098841955E-2</v>
      </c>
      <c r="R20" s="202">
        <f t="shared" si="118"/>
        <v>5.7863149810852069E-2</v>
      </c>
      <c r="S20" s="202">
        <f t="shared" ref="S20:T20" si="119">S46/S64</f>
        <v>4.7287531168501054E-2</v>
      </c>
      <c r="T20" s="202">
        <f t="shared" si="119"/>
        <v>4.7199773099956641E-2</v>
      </c>
      <c r="U20" s="202">
        <f t="shared" ref="U20:V20" si="120">U46/U64</f>
        <v>4.2990824347369477E-2</v>
      </c>
      <c r="V20" s="202">
        <f t="shared" si="120"/>
        <v>3.004965258664332E-2</v>
      </c>
      <c r="W20" s="202">
        <f t="shared" ref="W20:X20" si="121">W46/W64</f>
        <v>2.7224254748698024E-2</v>
      </c>
      <c r="X20" s="202">
        <f t="shared" si="121"/>
        <v>2.3315482245257483E-2</v>
      </c>
      <c r="Y20" s="202">
        <f t="shared" ref="Y20:Z20" si="122">Y46/Y64</f>
        <v>1.89050096276073E-2</v>
      </c>
      <c r="Z20" s="202">
        <f t="shared" si="122"/>
        <v>2.0714944311347214E-2</v>
      </c>
      <c r="AA20" s="202">
        <f t="shared" ref="AA20:AB20" si="123">AA46/AA64</f>
        <v>2.8913098956554868E-2</v>
      </c>
      <c r="AB20" s="202">
        <f t="shared" si="123"/>
        <v>2.6256937630934798E-2</v>
      </c>
      <c r="AC20" s="202">
        <f t="shared" ref="AC20" si="124">AC46/AC64</f>
        <v>3.282154495392077E-2</v>
      </c>
    </row>
    <row r="21" spans="2:30" s="206" customFormat="1" x14ac:dyDescent="0.2">
      <c r="B21" s="204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</row>
    <row r="22" spans="2:30" s="206" customFormat="1" x14ac:dyDescent="0.2">
      <c r="B22" s="197" t="s">
        <v>366</v>
      </c>
      <c r="C22" s="245">
        <f t="shared" ref="C22:N22" si="125">-C68/C32</f>
        <v>1.2744581487247035</v>
      </c>
      <c r="D22" s="245">
        <f t="shared" si="125"/>
        <v>1.1824991857561611</v>
      </c>
      <c r="E22" s="245">
        <f t="shared" si="125"/>
        <v>1.2008213141025641</v>
      </c>
      <c r="F22" s="245">
        <f t="shared" si="125"/>
        <v>1.1542377422523891</v>
      </c>
      <c r="G22" s="245">
        <f t="shared" si="125"/>
        <v>1.1551738108743215</v>
      </c>
      <c r="H22" s="245">
        <f t="shared" si="125"/>
        <v>1.239990969295605</v>
      </c>
      <c r="I22" s="245">
        <f t="shared" si="125"/>
        <v>1.2830558276199804</v>
      </c>
      <c r="J22" s="245">
        <f t="shared" si="125"/>
        <v>1.2028843537414966</v>
      </c>
      <c r="K22" s="245">
        <f t="shared" si="125"/>
        <v>1.2833295863309353</v>
      </c>
      <c r="L22" s="245">
        <f t="shared" si="125"/>
        <v>1.3321297429620562</v>
      </c>
      <c r="M22" s="245">
        <f t="shared" si="125"/>
        <v>1.3899214514879965</v>
      </c>
      <c r="N22" s="245">
        <f t="shared" si="125"/>
        <v>1.2856718045299103</v>
      </c>
      <c r="O22" s="245">
        <f t="shared" ref="O22:P22" si="126">-O68/O32</f>
        <v>1.2665139366170295</v>
      </c>
      <c r="P22" s="245">
        <f t="shared" si="126"/>
        <v>1.3509876357056694</v>
      </c>
      <c r="Q22" s="245">
        <f t="shared" ref="Q22:R22" si="127">-Q68/Q32</f>
        <v>1.3433834086213539</v>
      </c>
      <c r="R22" s="245">
        <f t="shared" si="127"/>
        <v>1.3089723409039802</v>
      </c>
      <c r="S22" s="245">
        <f t="shared" ref="S22:T22" si="128">-S68/S32</f>
        <v>1.3418173839450835</v>
      </c>
      <c r="T22" s="245">
        <f t="shared" si="128"/>
        <v>1.3163555932614228</v>
      </c>
      <c r="U22" s="245">
        <f t="shared" ref="U22:V22" si="129">-U68/U32</f>
        <v>1.3805236270753511</v>
      </c>
      <c r="V22" s="245">
        <f t="shared" si="129"/>
        <v>1.3621328224776501</v>
      </c>
      <c r="W22" s="245">
        <f t="shared" ref="W22:X22" si="130">-W68/W32</f>
        <v>1.3310808667237715</v>
      </c>
      <c r="X22" s="245">
        <f t="shared" si="130"/>
        <v>1.2539585091960197</v>
      </c>
      <c r="Y22" s="245">
        <f t="shared" ref="Y22:Z22" si="131">-Y68/Y32</f>
        <v>1.2607413560377947</v>
      </c>
      <c r="Z22" s="245">
        <f t="shared" si="131"/>
        <v>1.233183246962875</v>
      </c>
      <c r="AA22" s="245">
        <f t="shared" ref="AA22:AB22" si="132">-AA68/AA32</f>
        <v>1.1622083366289646</v>
      </c>
      <c r="AB22" s="245">
        <f t="shared" si="132"/>
        <v>1.1102647600169899</v>
      </c>
      <c r="AC22" s="245">
        <f t="shared" ref="AC22" si="133">-AC68/AC32</f>
        <v>1.0778847325453882</v>
      </c>
    </row>
    <row r="23" spans="2:30" s="206" customFormat="1" x14ac:dyDescent="0.2">
      <c r="B23" s="199" t="s">
        <v>362</v>
      </c>
      <c r="C23" s="246"/>
      <c r="D23" s="246"/>
      <c r="E23" s="240"/>
      <c r="F23" s="240"/>
      <c r="G23" s="240">
        <f t="shared" ref="G23:N26" si="134">-G69/G33</f>
        <v>1.2751131221719456</v>
      </c>
      <c r="H23" s="240">
        <f t="shared" si="134"/>
        <v>1.3595086641807415</v>
      </c>
      <c r="I23" s="240">
        <f t="shared" si="134"/>
        <v>1.394576012223071</v>
      </c>
      <c r="J23" s="240">
        <f t="shared" si="134"/>
        <v>1.251283647113739</v>
      </c>
      <c r="K23" s="240">
        <f t="shared" si="134"/>
        <v>1.3086225852049631</v>
      </c>
      <c r="L23" s="240">
        <f t="shared" si="134"/>
        <v>1.3364820846905539</v>
      </c>
      <c r="M23" s="240">
        <f t="shared" si="134"/>
        <v>1.4477460746243458</v>
      </c>
      <c r="N23" s="240">
        <f t="shared" si="134"/>
        <v>1.3342516069788797</v>
      </c>
      <c r="O23" s="240">
        <f t="shared" ref="O23:P23" si="135">-O69/O33</f>
        <v>1.3450670111416114</v>
      </c>
      <c r="P23" s="240">
        <f t="shared" si="135"/>
        <v>1.4153761061946903</v>
      </c>
      <c r="Q23" s="240">
        <f t="shared" ref="Q23:R23" si="136">-Q69/Q33</f>
        <v>1.4022598035595599</v>
      </c>
      <c r="R23" s="240">
        <f t="shared" si="136"/>
        <v>1.4331539289558666</v>
      </c>
      <c r="S23" s="240">
        <f t="shared" ref="S23:T23" si="137">-S69/S33</f>
        <v>1.5065156226862135</v>
      </c>
      <c r="T23" s="240">
        <f t="shared" si="137"/>
        <v>1.5836022744736438</v>
      </c>
      <c r="U23" s="240">
        <f t="shared" ref="U23:V23" si="138">-U69/U33</f>
        <v>1.8466384741520669</v>
      </c>
      <c r="V23" s="240">
        <f t="shared" si="138"/>
        <v>1.7623205440349257</v>
      </c>
      <c r="W23" s="240">
        <f t="shared" ref="W23:X23" si="139">-W69/W33</f>
        <v>1.6207676704634109</v>
      </c>
      <c r="X23" s="240">
        <f t="shared" si="139"/>
        <v>1.4754725733503422</v>
      </c>
      <c r="Y23" s="240">
        <f t="shared" ref="Y23:Z23" si="140">-Y69/Y33</f>
        <v>1.516839555819586</v>
      </c>
      <c r="Z23" s="240">
        <f t="shared" si="140"/>
        <v>1.4181361081043333</v>
      </c>
      <c r="AA23" s="240">
        <f t="shared" ref="AA23:AB23" si="141">-AA69/AA33</f>
        <v>1.373873719551886</v>
      </c>
      <c r="AB23" s="240">
        <f t="shared" si="141"/>
        <v>1.3274644601362491</v>
      </c>
      <c r="AC23" s="240">
        <f>-AC69/AC33</f>
        <v>1.3225588657270655</v>
      </c>
    </row>
    <row r="24" spans="2:30" s="206" customFormat="1" x14ac:dyDescent="0.2">
      <c r="B24" s="199" t="s">
        <v>363</v>
      </c>
      <c r="C24" s="246"/>
      <c r="D24" s="246"/>
      <c r="E24" s="240"/>
      <c r="F24" s="240"/>
      <c r="G24" s="240">
        <f t="shared" si="134"/>
        <v>1.3079980129160458</v>
      </c>
      <c r="H24" s="240">
        <f t="shared" si="134"/>
        <v>1.4745247148288974</v>
      </c>
      <c r="I24" s="240">
        <f t="shared" si="134"/>
        <v>1.4665551839464883</v>
      </c>
      <c r="J24" s="240">
        <f t="shared" si="134"/>
        <v>1.34423828125</v>
      </c>
      <c r="K24" s="240">
        <f t="shared" si="134"/>
        <v>1.5111867704280155</v>
      </c>
      <c r="L24" s="240">
        <f t="shared" si="134"/>
        <v>1.5307925290257445</v>
      </c>
      <c r="M24" s="240">
        <f t="shared" si="134"/>
        <v>1.7799026425591098</v>
      </c>
      <c r="N24" s="240">
        <f t="shared" si="134"/>
        <v>1.4003634947423083</v>
      </c>
      <c r="O24" s="240">
        <f t="shared" ref="O24:P24" si="142">-O70/O34</f>
        <v>1.3478445229681979</v>
      </c>
      <c r="P24" s="240">
        <f t="shared" si="142"/>
        <v>1.5293946871824649</v>
      </c>
      <c r="Q24" s="240">
        <f t="shared" ref="Q24:R24" si="143">-Q70/Q34</f>
        <v>1.6119994132316269</v>
      </c>
      <c r="R24" s="240">
        <f t="shared" si="143"/>
        <v>1.5954767063921993</v>
      </c>
      <c r="S24" s="240">
        <f t="shared" ref="S24:T24" si="144">-S70/S34</f>
        <v>1.6244923857868021</v>
      </c>
      <c r="T24" s="240">
        <f t="shared" si="144"/>
        <v>1.457309108181926</v>
      </c>
      <c r="U24" s="240">
        <f t="shared" ref="U24:V24" si="145">-U70/U34</f>
        <v>1.4504203923662085</v>
      </c>
      <c r="V24" s="240">
        <f t="shared" si="145"/>
        <v>1.4557478542282256</v>
      </c>
      <c r="W24" s="240">
        <f t="shared" ref="W24:X24" si="146">-W70/W34</f>
        <v>1.4995217925946167</v>
      </c>
      <c r="X24" s="240">
        <f t="shared" si="146"/>
        <v>1.4123369192034791</v>
      </c>
      <c r="Y24" s="240">
        <f t="shared" ref="Y24:Z24" si="147">-Y70/Y34</f>
        <v>1.3768991223931302</v>
      </c>
      <c r="Z24" s="240">
        <f t="shared" si="147"/>
        <v>1.32180675049636</v>
      </c>
      <c r="AA24" s="240">
        <f t="shared" ref="AA24:AB24" si="148">-AA70/AA34</f>
        <v>1.2896441423430627</v>
      </c>
      <c r="AB24" s="240">
        <f t="shared" si="148"/>
        <v>1.2728421385137803</v>
      </c>
      <c r="AC24" s="240">
        <f t="shared" ref="AC24" si="149">-AC70/AC34</f>
        <v>1.2898077069240708</v>
      </c>
    </row>
    <row r="25" spans="2:30" s="206" customFormat="1" x14ac:dyDescent="0.2">
      <c r="B25" s="199" t="s">
        <v>243</v>
      </c>
      <c r="C25" s="246"/>
      <c r="D25" s="246"/>
      <c r="E25" s="240"/>
      <c r="F25" s="240"/>
      <c r="G25" s="240">
        <f t="shared" si="134"/>
        <v>1.382716049382716</v>
      </c>
      <c r="H25" s="240">
        <f t="shared" si="134"/>
        <v>1.3590038314176245</v>
      </c>
      <c r="I25" s="240">
        <f t="shared" si="134"/>
        <v>1.5666890080428955</v>
      </c>
      <c r="J25" s="240">
        <f t="shared" si="134"/>
        <v>1.4129588431590656</v>
      </c>
      <c r="K25" s="240">
        <f t="shared" si="134"/>
        <v>1.4978314745972738</v>
      </c>
      <c r="L25" s="240">
        <f t="shared" si="134"/>
        <v>1.5260263929618769</v>
      </c>
      <c r="M25" s="240">
        <f t="shared" si="134"/>
        <v>1.5185185185185186</v>
      </c>
      <c r="N25" s="240">
        <f t="shared" si="134"/>
        <v>1.6873695198329854</v>
      </c>
      <c r="O25" s="240">
        <f t="shared" ref="O25:P25" si="150">-O71/O35</f>
        <v>1.6332480818414323</v>
      </c>
      <c r="P25" s="240">
        <f t="shared" si="150"/>
        <v>1.6956298200514139</v>
      </c>
      <c r="Q25" s="240">
        <f t="shared" ref="Q25:R25" si="151">-Q71/Q35</f>
        <v>1.6390845070422535</v>
      </c>
      <c r="R25" s="240">
        <f t="shared" si="151"/>
        <v>1.4118283447529751</v>
      </c>
      <c r="S25" s="240">
        <f t="shared" ref="S25:T25" si="152">-S71/S35</f>
        <v>1.2979642196175201</v>
      </c>
      <c r="T25" s="240">
        <f t="shared" si="152"/>
        <v>1.2059685584865441</v>
      </c>
      <c r="U25" s="240">
        <f t="shared" ref="U25:V25" si="153">-U71/U35</f>
        <v>1.1644038509010122</v>
      </c>
      <c r="V25" s="240">
        <f t="shared" si="153"/>
        <v>1.1975278720310227</v>
      </c>
      <c r="W25" s="240">
        <f t="shared" ref="W25:X25" si="154">-W71/W35</f>
        <v>1.0610705022400377</v>
      </c>
      <c r="X25" s="240">
        <f t="shared" si="154"/>
        <v>0.99186164801627674</v>
      </c>
      <c r="Y25" s="240">
        <f t="shared" ref="Y25:Z25" si="155">-Y71/Y35</f>
        <v>0.93872433787807552</v>
      </c>
      <c r="Z25" s="240">
        <f t="shared" si="155"/>
        <v>1.0055619930475086</v>
      </c>
      <c r="AA25" s="240">
        <f t="shared" ref="AA25:AB25" si="156">-AA71/AA35</f>
        <v>0.89768287142208092</v>
      </c>
      <c r="AB25" s="240">
        <f t="shared" si="156"/>
        <v>0.85645059344055063</v>
      </c>
      <c r="AC25" s="240">
        <f t="shared" ref="AC25" si="157">-AC71/AC35</f>
        <v>0.83751664788443803</v>
      </c>
    </row>
    <row r="26" spans="2:30" s="206" customFormat="1" x14ac:dyDescent="0.2">
      <c r="B26" s="199" t="s">
        <v>329</v>
      </c>
      <c r="C26" s="246"/>
      <c r="D26" s="246"/>
      <c r="E26" s="240"/>
      <c r="F26" s="240"/>
      <c r="G26" s="240">
        <f t="shared" si="134"/>
        <v>0.74035914041801587</v>
      </c>
      <c r="H26" s="240">
        <f t="shared" si="134"/>
        <v>0.81799942676984805</v>
      </c>
      <c r="I26" s="240">
        <f t="shared" si="134"/>
        <v>0.8009744214372716</v>
      </c>
      <c r="J26" s="240">
        <f t="shared" si="134"/>
        <v>0.81625939849624063</v>
      </c>
      <c r="K26" s="240">
        <f t="shared" si="134"/>
        <v>0.84504283965728277</v>
      </c>
      <c r="L26" s="240">
        <f t="shared" si="134"/>
        <v>0.94957264957264953</v>
      </c>
      <c r="M26" s="240">
        <f t="shared" si="134"/>
        <v>0.73500344748333712</v>
      </c>
      <c r="N26" s="240">
        <f t="shared" si="134"/>
        <v>0.79597415506958247</v>
      </c>
      <c r="O26" s="240">
        <f t="shared" ref="O26:P26" si="158">-O72/O36</f>
        <v>0.79199832425638872</v>
      </c>
      <c r="P26" s="240">
        <f t="shared" si="158"/>
        <v>0.81222707423580787</v>
      </c>
      <c r="Q26" s="240">
        <f t="shared" ref="Q26:R26" si="159">-Q72/Q36</f>
        <v>0.78656993419942633</v>
      </c>
      <c r="R26" s="240">
        <f t="shared" si="159"/>
        <v>0.72189853630808587</v>
      </c>
      <c r="S26" s="240">
        <f t="shared" ref="S26:T26" si="160">-S72/S36</f>
        <v>0.74941580756013748</v>
      </c>
      <c r="T26" s="240">
        <f t="shared" si="160"/>
        <v>0.77251791197543496</v>
      </c>
      <c r="U26" s="240">
        <f t="shared" ref="U26:V26" si="161">-U72/U36</f>
        <v>0.76395164244718528</v>
      </c>
      <c r="V26" s="240">
        <f t="shared" si="161"/>
        <v>0.78082191780821919</v>
      </c>
      <c r="W26" s="240">
        <f t="shared" ref="W26:X26" si="162">-W72/W36</f>
        <v>0.79896402071958561</v>
      </c>
      <c r="X26" s="240">
        <f t="shared" si="162"/>
        <v>0.77605565047595804</v>
      </c>
      <c r="Y26" s="240">
        <f t="shared" ref="Y26:Z26" si="163">-Y72/Y36</f>
        <v>0.74639552399397457</v>
      </c>
      <c r="Z26" s="240">
        <f t="shared" si="163"/>
        <v>0.76953042745841227</v>
      </c>
      <c r="AA26" s="240">
        <f t="shared" ref="AA26:AB26" si="164">-AA72/AA36</f>
        <v>0.69998098136173448</v>
      </c>
      <c r="AB26" s="240">
        <f t="shared" si="164"/>
        <v>0.64165443398670241</v>
      </c>
      <c r="AC26" s="240">
        <f t="shared" ref="AC26" si="165">-AC72/AC36</f>
        <v>0.58718578445535974</v>
      </c>
    </row>
    <row r="27" spans="2:30" x14ac:dyDescent="0.2">
      <c r="B27" s="197" t="s">
        <v>333</v>
      </c>
      <c r="C27" s="152">
        <f t="shared" ref="C27:N27" si="166">-C75/C42</f>
        <v>1.1156218956953641</v>
      </c>
      <c r="D27" s="152">
        <f t="shared" si="166"/>
        <v>1.1085621371376884</v>
      </c>
      <c r="E27" s="152">
        <f t="shared" si="166"/>
        <v>1.3320183626625861</v>
      </c>
      <c r="F27" s="152">
        <f t="shared" si="166"/>
        <v>1.4502242307692308</v>
      </c>
      <c r="G27" s="152">
        <f t="shared" si="166"/>
        <v>1.4485915492957746</v>
      </c>
      <c r="H27" s="152">
        <f t="shared" si="166"/>
        <v>1.6097256857855362</v>
      </c>
      <c r="I27" s="152">
        <f t="shared" si="166"/>
        <v>1.753434694999084</v>
      </c>
      <c r="J27" s="152">
        <f t="shared" si="166"/>
        <v>1.953145622525297</v>
      </c>
      <c r="K27" s="152">
        <f t="shared" si="166"/>
        <v>3.4027266028002949</v>
      </c>
      <c r="L27" s="152">
        <f t="shared" si="166"/>
        <v>2.5452226345083488</v>
      </c>
      <c r="M27" s="152">
        <f t="shared" si="166"/>
        <v>2.1454695222405271</v>
      </c>
      <c r="N27" s="152">
        <f t="shared" si="166"/>
        <v>2.2245376400104195</v>
      </c>
      <c r="O27" s="152">
        <f t="shared" ref="O27:T27" si="167">-O75/O42</f>
        <v>2.0306435137895811</v>
      </c>
      <c r="P27" s="152">
        <f t="shared" si="167"/>
        <v>1.9208649130628623</v>
      </c>
      <c r="Q27" s="152">
        <f t="shared" si="167"/>
        <v>1.3739837398373984</v>
      </c>
      <c r="R27" s="152">
        <f t="shared" si="167"/>
        <v>1.4334799019417097</v>
      </c>
      <c r="S27" s="152">
        <f t="shared" si="167"/>
        <v>1.3854810238305384</v>
      </c>
      <c r="T27" s="152">
        <f t="shared" si="167"/>
        <v>1.4293847751096822</v>
      </c>
      <c r="U27" s="152">
        <f t="shared" ref="U27:V27" si="168">-U75/U42</f>
        <v>1.3115124153498872</v>
      </c>
      <c r="V27" s="152">
        <f t="shared" si="168"/>
        <v>1.3473215367834201</v>
      </c>
      <c r="W27" s="152">
        <f t="shared" ref="W27:X27" si="169">-W75/W42</f>
        <v>1.3526538967685333</v>
      </c>
      <c r="X27" s="152">
        <f t="shared" si="169"/>
        <v>1.6103935934571478</v>
      </c>
      <c r="Y27" s="152">
        <f t="shared" ref="Y27:Z27" si="170">-Y75/Y42</f>
        <v>1.3674458465084665</v>
      </c>
      <c r="Z27" s="152">
        <f t="shared" si="170"/>
        <v>1.4412778153479535</v>
      </c>
      <c r="AA27" s="152">
        <f t="shared" ref="AA27:AB27" si="171">-AA75/AA42</f>
        <v>1.371610208531679</v>
      </c>
      <c r="AB27" s="152">
        <f t="shared" si="171"/>
        <v>0.92158859470468435</v>
      </c>
      <c r="AC27" s="152">
        <f>-AC75/AC42</f>
        <v>1.0050532357344868</v>
      </c>
    </row>
    <row r="28" spans="2:30" s="206" customFormat="1" x14ac:dyDescent="0.2">
      <c r="B28" s="201" t="s">
        <v>334</v>
      </c>
      <c r="C28" s="202">
        <f t="shared" ref="C28:N28" si="172">-C78/C45</f>
        <v>1.2854433740423272</v>
      </c>
      <c r="D28" s="207">
        <f t="shared" si="172"/>
        <v>1.2085154377555336</v>
      </c>
      <c r="E28" s="207">
        <f t="shared" si="172"/>
        <v>1.2672889823823297</v>
      </c>
      <c r="F28" s="207">
        <f t="shared" si="172"/>
        <v>1.2766359699945111</v>
      </c>
      <c r="G28" s="207">
        <f t="shared" si="172"/>
        <v>1.271239109927307</v>
      </c>
      <c r="H28" s="207">
        <f t="shared" si="172"/>
        <v>1.3690085705216379</v>
      </c>
      <c r="I28" s="207">
        <f t="shared" si="172"/>
        <v>1.4224030037546933</v>
      </c>
      <c r="J28" s="207">
        <f t="shared" si="172"/>
        <v>1.3680903974521181</v>
      </c>
      <c r="K28" s="207">
        <f t="shared" si="172"/>
        <v>1.5740758802301766</v>
      </c>
      <c r="L28" s="207">
        <f t="shared" si="172"/>
        <v>1.5937439473174511</v>
      </c>
      <c r="M28" s="207">
        <f t="shared" si="172"/>
        <v>1.5857627960907736</v>
      </c>
      <c r="N28" s="207">
        <f t="shared" si="172"/>
        <v>1.5495602225812242</v>
      </c>
      <c r="O28" s="202">
        <f t="shared" ref="O28:T28" si="173">-O78/O45</f>
        <v>1.492464622960578</v>
      </c>
      <c r="P28" s="207">
        <f t="shared" si="173"/>
        <v>1.5834907357438388</v>
      </c>
      <c r="Q28" s="207">
        <f t="shared" si="173"/>
        <v>1.3582761162186276</v>
      </c>
      <c r="R28" s="207">
        <f t="shared" si="173"/>
        <v>1.3662631097346378</v>
      </c>
      <c r="S28" s="207">
        <f t="shared" si="173"/>
        <v>1.3622641509433961</v>
      </c>
      <c r="T28" s="207">
        <f t="shared" si="173"/>
        <v>1.3703450360307334</v>
      </c>
      <c r="U28" s="202">
        <f t="shared" ref="U28:V28" si="174">-U78/U45</f>
        <v>1.3448365453684032</v>
      </c>
      <c r="V28" s="207">
        <f t="shared" si="174"/>
        <v>1.3550774205584231</v>
      </c>
      <c r="W28" s="207">
        <f t="shared" ref="W28:X28" si="175">-W78/W45</f>
        <v>1.3423975896280966</v>
      </c>
      <c r="X28" s="207">
        <f t="shared" si="175"/>
        <v>1.4068792191472574</v>
      </c>
      <c r="Y28" s="207">
        <f t="shared" ref="Y28:Z28" si="176">-Y78/Y45</f>
        <v>1.3048515745054516</v>
      </c>
      <c r="Z28" s="207">
        <f t="shared" si="176"/>
        <v>1.3051230146371846</v>
      </c>
      <c r="AA28" s="207">
        <f t="shared" ref="AA28:AB28" si="177">-AA78/AA45</f>
        <v>1.2334927330437688</v>
      </c>
      <c r="AB28" s="207">
        <f t="shared" si="177"/>
        <v>1.0329658398062307</v>
      </c>
      <c r="AC28" s="207">
        <f t="shared" ref="AC28" si="178">-AC78/AC45</f>
        <v>1.0510456522073173</v>
      </c>
    </row>
    <row r="30" spans="2:30" x14ac:dyDescent="0.2">
      <c r="B30" s="176" t="s">
        <v>335</v>
      </c>
      <c r="C30" s="179"/>
      <c r="D30" s="179"/>
      <c r="E30" s="195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</row>
    <row r="31" spans="2:30" x14ac:dyDescent="0.2">
      <c r="C31" s="196"/>
      <c r="D31" s="196"/>
      <c r="E31" s="196"/>
      <c r="F31" s="196"/>
      <c r="G31" s="237"/>
      <c r="H31" s="196"/>
      <c r="I31" s="196"/>
      <c r="J31" s="196"/>
      <c r="K31" s="237"/>
      <c r="L31" s="196"/>
      <c r="M31" s="196"/>
      <c r="N31" s="196"/>
      <c r="O31" s="299"/>
      <c r="P31" s="196"/>
      <c r="Q31" s="196"/>
      <c r="R31" s="196"/>
      <c r="S31" s="196"/>
      <c r="T31" s="196"/>
      <c r="U31" s="237"/>
      <c r="V31" s="237"/>
      <c r="W31" s="237"/>
      <c r="X31" s="196"/>
      <c r="Y31" s="196"/>
      <c r="Z31" s="196"/>
      <c r="AA31" s="196"/>
      <c r="AB31" s="196"/>
      <c r="AC31" s="196"/>
    </row>
    <row r="32" spans="2:30" s="198" customFormat="1" x14ac:dyDescent="0.2">
      <c r="B32" s="197" t="s">
        <v>424</v>
      </c>
      <c r="C32" s="20">
        <v>8351</v>
      </c>
      <c r="D32" s="20">
        <v>9211</v>
      </c>
      <c r="E32" s="20">
        <v>9984</v>
      </c>
      <c r="F32" s="20">
        <v>11197</v>
      </c>
      <c r="G32" s="20">
        <v>12341</v>
      </c>
      <c r="H32" s="20">
        <v>13288</v>
      </c>
      <c r="I32" s="20">
        <v>15315</v>
      </c>
      <c r="J32" s="20">
        <f t="shared" ref="J32:P32" si="179">SUM(J33:J36)</f>
        <v>18375</v>
      </c>
      <c r="K32" s="20">
        <f t="shared" si="179"/>
        <v>17792</v>
      </c>
      <c r="L32" s="20">
        <f t="shared" si="179"/>
        <v>16340</v>
      </c>
      <c r="M32" s="20">
        <f t="shared" si="179"/>
        <v>18078</v>
      </c>
      <c r="N32" s="20">
        <f t="shared" si="179"/>
        <v>20177</v>
      </c>
      <c r="O32" s="20">
        <f t="shared" si="179"/>
        <v>26190</v>
      </c>
      <c r="P32" s="20">
        <f t="shared" si="179"/>
        <v>26528</v>
      </c>
      <c r="Q32" s="20">
        <f t="shared" ref="Q32:AC32" si="180">SUM(Q33:Q36)</f>
        <v>28557</v>
      </c>
      <c r="R32" s="20">
        <f t="shared" si="180"/>
        <v>31129</v>
      </c>
      <c r="S32" s="20">
        <f t="shared" si="180"/>
        <v>31903</v>
      </c>
      <c r="T32" s="20">
        <f t="shared" si="180"/>
        <v>33004</v>
      </c>
      <c r="U32" s="20">
        <f t="shared" si="180"/>
        <v>31320</v>
      </c>
      <c r="V32" s="20">
        <f t="shared" si="180"/>
        <v>31320</v>
      </c>
      <c r="W32" s="20">
        <f t="shared" si="180"/>
        <v>31521</v>
      </c>
      <c r="X32" s="20">
        <f t="shared" si="180"/>
        <v>39093</v>
      </c>
      <c r="Y32" s="20">
        <f t="shared" si="180"/>
        <v>48155</v>
      </c>
      <c r="Z32" s="20">
        <f t="shared" si="180"/>
        <v>58855</v>
      </c>
      <c r="AA32" s="20">
        <f t="shared" si="180"/>
        <v>63215</v>
      </c>
      <c r="AB32" s="20">
        <f t="shared" si="180"/>
        <v>70630</v>
      </c>
      <c r="AC32" s="20">
        <f t="shared" si="180"/>
        <v>82070</v>
      </c>
    </row>
    <row r="33" spans="2:31" s="198" customFormat="1" x14ac:dyDescent="0.2">
      <c r="B33" s="199" t="s">
        <v>362</v>
      </c>
      <c r="C33" s="131"/>
      <c r="D33" s="131"/>
      <c r="E33" s="208">
        <v>3576</v>
      </c>
      <c r="F33" s="208">
        <v>3978</v>
      </c>
      <c r="G33" s="208">
        <v>4420</v>
      </c>
      <c r="H33" s="208">
        <v>4559</v>
      </c>
      <c r="I33" s="208">
        <v>5236</v>
      </c>
      <c r="J33" s="208">
        <v>6427</v>
      </c>
      <c r="K33" s="208">
        <v>6367</v>
      </c>
      <c r="L33" s="208">
        <v>6140</v>
      </c>
      <c r="M33" s="208">
        <v>5923</v>
      </c>
      <c r="N33" s="208">
        <v>6534</v>
      </c>
      <c r="O33" s="208">
        <v>12386</v>
      </c>
      <c r="P33" s="208">
        <v>12656</v>
      </c>
      <c r="Q33" s="208">
        <v>13541</v>
      </c>
      <c r="R33" s="208">
        <v>13935</v>
      </c>
      <c r="S33" s="208">
        <v>13506</v>
      </c>
      <c r="T33" s="208">
        <v>13014</v>
      </c>
      <c r="U33" s="208">
        <v>11587</v>
      </c>
      <c r="V33" s="208">
        <v>11911</v>
      </c>
      <c r="W33" s="208">
        <v>12818</v>
      </c>
      <c r="X33" s="208">
        <v>17246</v>
      </c>
      <c r="Y33" s="208">
        <v>21883</v>
      </c>
      <c r="Z33" s="208">
        <v>28639</v>
      </c>
      <c r="AA33" s="208">
        <v>29189</v>
      </c>
      <c r="AB33" s="208">
        <v>32147</v>
      </c>
      <c r="AC33" s="208">
        <v>35547</v>
      </c>
      <c r="AE33" s="352"/>
    </row>
    <row r="34" spans="2:31" s="198" customFormat="1" x14ac:dyDescent="0.2">
      <c r="B34" s="199" t="s">
        <v>363</v>
      </c>
      <c r="C34" s="131"/>
      <c r="D34" s="131"/>
      <c r="E34" s="208">
        <v>869</v>
      </c>
      <c r="F34" s="208">
        <v>1463</v>
      </c>
      <c r="G34" s="208">
        <v>2013</v>
      </c>
      <c r="H34" s="208">
        <v>2630</v>
      </c>
      <c r="I34" s="208">
        <v>2990</v>
      </c>
      <c r="J34" s="208">
        <v>4096</v>
      </c>
      <c r="K34" s="208">
        <v>4112</v>
      </c>
      <c r="L34" s="208">
        <v>3962</v>
      </c>
      <c r="M34" s="208">
        <v>5752</v>
      </c>
      <c r="N34" s="208">
        <v>7703</v>
      </c>
      <c r="O34" s="208">
        <v>7075</v>
      </c>
      <c r="P34" s="208">
        <v>6889</v>
      </c>
      <c r="Q34" s="208">
        <v>6817</v>
      </c>
      <c r="R34" s="208">
        <v>7384</v>
      </c>
      <c r="S34" s="208">
        <v>7880</v>
      </c>
      <c r="T34" s="208">
        <v>8421</v>
      </c>
      <c r="U34" s="208">
        <v>7493</v>
      </c>
      <c r="V34" s="208">
        <v>7107</v>
      </c>
      <c r="W34" s="208">
        <v>7319</v>
      </c>
      <c r="X34" s="208">
        <v>8738</v>
      </c>
      <c r="Y34" s="208">
        <v>10597</v>
      </c>
      <c r="Z34" s="208">
        <v>12088</v>
      </c>
      <c r="AA34" s="208">
        <v>12505</v>
      </c>
      <c r="AB34" s="208">
        <v>12663</v>
      </c>
      <c r="AC34" s="208">
        <v>13157</v>
      </c>
      <c r="AE34" s="352"/>
    </row>
    <row r="35" spans="2:31" s="198" customFormat="1" x14ac:dyDescent="0.2">
      <c r="B35" s="199" t="s">
        <v>243</v>
      </c>
      <c r="C35" s="131"/>
      <c r="D35" s="131"/>
      <c r="E35" s="208">
        <v>2190</v>
      </c>
      <c r="F35" s="208">
        <v>2442</v>
      </c>
      <c r="G35" s="208">
        <v>2511</v>
      </c>
      <c r="H35" s="208">
        <v>2610</v>
      </c>
      <c r="I35" s="208">
        <v>2984</v>
      </c>
      <c r="J35" s="208">
        <v>3596</v>
      </c>
      <c r="K35" s="208">
        <v>3228</v>
      </c>
      <c r="L35" s="208">
        <v>2728</v>
      </c>
      <c r="M35" s="208">
        <v>2052</v>
      </c>
      <c r="N35" s="208">
        <v>1916</v>
      </c>
      <c r="O35" s="208">
        <v>1955</v>
      </c>
      <c r="P35" s="208">
        <v>1945</v>
      </c>
      <c r="Q35" s="208">
        <v>2272</v>
      </c>
      <c r="R35" s="208">
        <v>2773</v>
      </c>
      <c r="S35" s="208">
        <v>3242</v>
      </c>
      <c r="T35" s="208">
        <v>3753</v>
      </c>
      <c r="U35" s="208">
        <v>4051</v>
      </c>
      <c r="V35" s="208">
        <v>4126</v>
      </c>
      <c r="W35" s="208">
        <v>4241</v>
      </c>
      <c r="X35" s="208">
        <v>4915</v>
      </c>
      <c r="Y35" s="208">
        <v>6381</v>
      </c>
      <c r="Z35" s="208">
        <v>8630</v>
      </c>
      <c r="AA35" s="208">
        <v>11005</v>
      </c>
      <c r="AB35" s="208">
        <v>14239</v>
      </c>
      <c r="AC35" s="208">
        <v>19522</v>
      </c>
      <c r="AE35" s="352"/>
    </row>
    <row r="36" spans="2:31" s="198" customFormat="1" x14ac:dyDescent="0.2">
      <c r="B36" s="199" t="s">
        <v>329</v>
      </c>
      <c r="C36" s="131"/>
      <c r="D36" s="131"/>
      <c r="E36" s="208">
        <v>3349</v>
      </c>
      <c r="F36" s="208">
        <v>3314</v>
      </c>
      <c r="G36" s="208">
        <v>3397</v>
      </c>
      <c r="H36" s="208">
        <v>3489</v>
      </c>
      <c r="I36" s="208">
        <v>4105</v>
      </c>
      <c r="J36" s="208">
        <v>4256</v>
      </c>
      <c r="K36" s="208">
        <v>4085</v>
      </c>
      <c r="L36" s="208">
        <v>3510</v>
      </c>
      <c r="M36" s="208">
        <v>4351</v>
      </c>
      <c r="N36" s="208">
        <v>4024</v>
      </c>
      <c r="O36" s="208">
        <v>4774</v>
      </c>
      <c r="P36" s="208">
        <v>5038</v>
      </c>
      <c r="Q36" s="208">
        <v>5927</v>
      </c>
      <c r="R36" s="208">
        <v>7037</v>
      </c>
      <c r="S36" s="208">
        <v>7275</v>
      </c>
      <c r="T36" s="208">
        <v>7816</v>
      </c>
      <c r="U36" s="208">
        <v>8189</v>
      </c>
      <c r="V36" s="208">
        <v>8176</v>
      </c>
      <c r="W36" s="208">
        <v>7143</v>
      </c>
      <c r="X36" s="208">
        <v>8194</v>
      </c>
      <c r="Y36" s="208">
        <v>9294</v>
      </c>
      <c r="Z36" s="208">
        <v>9498</v>
      </c>
      <c r="AA36" s="208">
        <v>10516</v>
      </c>
      <c r="AB36" s="208">
        <v>11581</v>
      </c>
      <c r="AC36" s="208">
        <v>13844</v>
      </c>
      <c r="AE36" s="352"/>
    </row>
    <row r="37" spans="2:31" x14ac:dyDescent="0.2">
      <c r="B37" s="197" t="s">
        <v>364</v>
      </c>
      <c r="C37" s="135"/>
      <c r="D37" s="135"/>
      <c r="E37" s="135"/>
      <c r="F37" s="20">
        <v>3088</v>
      </c>
      <c r="G37" s="20">
        <v>3037</v>
      </c>
      <c r="H37" s="20">
        <v>12986</v>
      </c>
      <c r="I37" s="20">
        <v>16642</v>
      </c>
      <c r="J37" s="20">
        <v>13006</v>
      </c>
      <c r="K37" s="20">
        <v>5232</v>
      </c>
      <c r="L37" s="20">
        <v>5171</v>
      </c>
      <c r="M37" s="20">
        <v>5417</v>
      </c>
      <c r="N37" s="20">
        <f t="shared" ref="N37:AC37" si="181">SUM(N38:N41)</f>
        <v>5826</v>
      </c>
      <c r="O37" s="20">
        <f t="shared" si="181"/>
        <v>6287</v>
      </c>
      <c r="P37" s="20">
        <f t="shared" si="181"/>
        <v>7233</v>
      </c>
      <c r="Q37" s="20">
        <f t="shared" si="181"/>
        <v>8791</v>
      </c>
      <c r="R37" s="20">
        <f t="shared" si="181"/>
        <v>8183</v>
      </c>
      <c r="S37" s="20">
        <f t="shared" si="181"/>
        <v>7966</v>
      </c>
      <c r="T37" s="20">
        <f t="shared" si="181"/>
        <v>8150</v>
      </c>
      <c r="U37" s="20">
        <f t="shared" si="181"/>
        <v>8313</v>
      </c>
      <c r="V37" s="20">
        <f t="shared" si="181"/>
        <v>8369</v>
      </c>
      <c r="W37" s="20">
        <f t="shared" si="181"/>
        <v>9566</v>
      </c>
      <c r="X37" s="20">
        <f t="shared" si="181"/>
        <v>11330</v>
      </c>
      <c r="Y37" s="20">
        <f t="shared" si="181"/>
        <v>14742</v>
      </c>
      <c r="Z37" s="20">
        <f t="shared" si="181"/>
        <v>17493</v>
      </c>
      <c r="AA37" s="20">
        <f t="shared" si="181"/>
        <v>18349</v>
      </c>
      <c r="AB37" s="20">
        <f t="shared" si="181"/>
        <v>22017</v>
      </c>
      <c r="AC37" s="20">
        <f t="shared" si="181"/>
        <v>23075</v>
      </c>
    </row>
    <row r="38" spans="2:31" x14ac:dyDescent="0.2">
      <c r="B38" s="199" t="s">
        <v>362</v>
      </c>
      <c r="C38" s="131"/>
      <c r="D38" s="131"/>
      <c r="E38" s="208"/>
      <c r="F38" s="208"/>
      <c r="G38" s="208">
        <v>1049</v>
      </c>
      <c r="H38" s="208">
        <v>3404</v>
      </c>
      <c r="I38" s="208">
        <v>4489</v>
      </c>
      <c r="J38" s="208">
        <v>3450</v>
      </c>
      <c r="K38" s="208">
        <v>1704</v>
      </c>
      <c r="L38" s="208">
        <v>1681</v>
      </c>
      <c r="M38" s="208">
        <v>1812</v>
      </c>
      <c r="N38" s="208">
        <v>1720</v>
      </c>
      <c r="O38" s="208">
        <v>2930</v>
      </c>
      <c r="P38" s="208">
        <v>3360</v>
      </c>
      <c r="Q38" s="208">
        <v>3476</v>
      </c>
      <c r="R38" s="208">
        <v>3047</v>
      </c>
      <c r="S38" s="208">
        <v>2939</v>
      </c>
      <c r="T38" s="208">
        <v>2982</v>
      </c>
      <c r="U38" s="208">
        <v>3352</v>
      </c>
      <c r="V38" s="208">
        <v>3534</v>
      </c>
      <c r="W38" s="208">
        <v>3970</v>
      </c>
      <c r="X38" s="208">
        <v>4332</v>
      </c>
      <c r="Y38" s="208">
        <v>7254</v>
      </c>
      <c r="Z38" s="208">
        <v>8342</v>
      </c>
      <c r="AA38" s="208">
        <v>9225</v>
      </c>
      <c r="AB38" s="208">
        <v>8814</v>
      </c>
      <c r="AC38" s="208">
        <v>8624</v>
      </c>
    </row>
    <row r="39" spans="2:31" x14ac:dyDescent="0.2">
      <c r="B39" s="199" t="s">
        <v>363</v>
      </c>
      <c r="C39" s="131"/>
      <c r="D39" s="131"/>
      <c r="E39" s="208"/>
      <c r="F39" s="208"/>
      <c r="G39" s="208">
        <v>560</v>
      </c>
      <c r="H39" s="208">
        <v>2185</v>
      </c>
      <c r="I39" s="208">
        <v>2725</v>
      </c>
      <c r="J39" s="208">
        <v>2178</v>
      </c>
      <c r="K39" s="208">
        <v>992</v>
      </c>
      <c r="L39" s="208">
        <v>997</v>
      </c>
      <c r="M39" s="208">
        <v>1140</v>
      </c>
      <c r="N39" s="208">
        <v>2196</v>
      </c>
      <c r="O39" s="208">
        <v>1442</v>
      </c>
      <c r="P39" s="208">
        <v>1231</v>
      </c>
      <c r="Q39" s="208">
        <v>1810</v>
      </c>
      <c r="R39" s="208">
        <v>1822</v>
      </c>
      <c r="S39" s="208">
        <v>1575</v>
      </c>
      <c r="T39" s="208">
        <v>1431</v>
      </c>
      <c r="U39" s="208">
        <v>1593</v>
      </c>
      <c r="V39" s="208">
        <v>1833</v>
      </c>
      <c r="W39" s="208">
        <v>2017</v>
      </c>
      <c r="X39" s="208">
        <v>1825</v>
      </c>
      <c r="Y39" s="208">
        <v>2651</v>
      </c>
      <c r="Z39" s="208">
        <v>3288</v>
      </c>
      <c r="AA39" s="208">
        <v>2630</v>
      </c>
      <c r="AB39" s="208">
        <v>3058</v>
      </c>
      <c r="AC39" s="208">
        <v>3192</v>
      </c>
    </row>
    <row r="40" spans="2:31" x14ac:dyDescent="0.2">
      <c r="B40" s="199" t="s">
        <v>243</v>
      </c>
      <c r="C40" s="131"/>
      <c r="D40" s="131"/>
      <c r="E40" s="208"/>
      <c r="F40" s="208"/>
      <c r="G40" s="208">
        <v>827</v>
      </c>
      <c r="H40" s="208">
        <v>5306</v>
      </c>
      <c r="I40" s="208">
        <v>6252</v>
      </c>
      <c r="J40" s="208">
        <v>5171</v>
      </c>
      <c r="K40" s="208">
        <v>1618</v>
      </c>
      <c r="L40" s="208">
        <v>1521</v>
      </c>
      <c r="M40" s="208">
        <v>1512</v>
      </c>
      <c r="N40" s="208">
        <v>718</v>
      </c>
      <c r="O40" s="208">
        <v>740</v>
      </c>
      <c r="P40" s="208">
        <v>1092</v>
      </c>
      <c r="Q40" s="208">
        <v>1312</v>
      </c>
      <c r="R40" s="208">
        <v>1450</v>
      </c>
      <c r="S40" s="208">
        <v>1634</v>
      </c>
      <c r="T40" s="208">
        <v>1928</v>
      </c>
      <c r="U40" s="208">
        <v>1784</v>
      </c>
      <c r="V40" s="208">
        <v>1473</v>
      </c>
      <c r="W40" s="208">
        <v>1854</v>
      </c>
      <c r="X40" s="208">
        <v>2471</v>
      </c>
      <c r="Y40" s="208">
        <v>2648</v>
      </c>
      <c r="Z40" s="208">
        <v>3485</v>
      </c>
      <c r="AA40" s="208">
        <v>4211</v>
      </c>
      <c r="AB40" s="208">
        <v>6552</v>
      </c>
      <c r="AC40" s="208">
        <v>7446</v>
      </c>
    </row>
    <row r="41" spans="2:31" x14ac:dyDescent="0.2">
      <c r="B41" s="199" t="s">
        <v>329</v>
      </c>
      <c r="C41" s="131"/>
      <c r="D41" s="131"/>
      <c r="E41" s="208"/>
      <c r="F41" s="208"/>
      <c r="G41" s="208">
        <v>601</v>
      </c>
      <c r="H41" s="208">
        <v>2091</v>
      </c>
      <c r="I41" s="208">
        <v>3176</v>
      </c>
      <c r="J41" s="208">
        <v>2207</v>
      </c>
      <c r="K41" s="208">
        <v>918</v>
      </c>
      <c r="L41" s="208">
        <v>972</v>
      </c>
      <c r="M41" s="208">
        <v>953</v>
      </c>
      <c r="N41" s="208">
        <v>1192</v>
      </c>
      <c r="O41" s="208">
        <v>1175</v>
      </c>
      <c r="P41" s="208">
        <v>1550</v>
      </c>
      <c r="Q41" s="208">
        <v>2193</v>
      </c>
      <c r="R41" s="208">
        <v>1864</v>
      </c>
      <c r="S41" s="208">
        <v>1818</v>
      </c>
      <c r="T41" s="208">
        <v>1809</v>
      </c>
      <c r="U41" s="208">
        <v>1584</v>
      </c>
      <c r="V41" s="208">
        <v>1529</v>
      </c>
      <c r="W41" s="208">
        <v>1725</v>
      </c>
      <c r="X41" s="208">
        <v>2702</v>
      </c>
      <c r="Y41" s="208">
        <v>2189</v>
      </c>
      <c r="Z41" s="208">
        <v>2378</v>
      </c>
      <c r="AA41" s="208">
        <v>2283</v>
      </c>
      <c r="AB41" s="208">
        <v>3593</v>
      </c>
      <c r="AC41" s="208">
        <v>3813</v>
      </c>
    </row>
    <row r="42" spans="2:31" x14ac:dyDescent="0.2">
      <c r="B42" s="197" t="s">
        <v>330</v>
      </c>
      <c r="C42" s="20">
        <v>4832</v>
      </c>
      <c r="D42" s="20">
        <v>4975</v>
      </c>
      <c r="E42" s="20">
        <v>5228</v>
      </c>
      <c r="F42" s="20">
        <v>5200</v>
      </c>
      <c r="G42" s="20">
        <v>5680</v>
      </c>
      <c r="H42" s="20">
        <v>5614</v>
      </c>
      <c r="I42" s="20">
        <v>5459</v>
      </c>
      <c r="J42" s="20">
        <v>4546</v>
      </c>
      <c r="K42" s="20">
        <v>2714</v>
      </c>
      <c r="L42" s="20">
        <v>4312</v>
      </c>
      <c r="M42" s="20">
        <v>6070</v>
      </c>
      <c r="N42" s="20">
        <v>7678</v>
      </c>
      <c r="O42" s="20">
        <v>10769</v>
      </c>
      <c r="P42" s="20">
        <v>17944</v>
      </c>
      <c r="Q42" s="20">
        <v>23001</v>
      </c>
      <c r="R42" s="20">
        <v>25699</v>
      </c>
      <c r="S42" s="20">
        <v>27192</v>
      </c>
      <c r="T42" s="20">
        <v>29859</v>
      </c>
      <c r="U42" s="20">
        <v>34111</v>
      </c>
      <c r="V42" s="20">
        <v>33004</v>
      </c>
      <c r="W42" s="20">
        <v>34195</v>
      </c>
      <c r="X42" s="20">
        <v>29345</v>
      </c>
      <c r="Y42" s="20">
        <v>33839</v>
      </c>
      <c r="Z42" s="20">
        <v>31053</v>
      </c>
      <c r="AA42" s="20">
        <v>32561</v>
      </c>
      <c r="AB42" s="20">
        <v>49100</v>
      </c>
      <c r="AC42" s="20">
        <v>48088</v>
      </c>
    </row>
    <row r="43" spans="2:31" hidden="1" x14ac:dyDescent="0.2">
      <c r="B43" s="199" t="s">
        <v>360</v>
      </c>
      <c r="C43" s="131"/>
      <c r="D43" s="131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 t="s">
        <v>410</v>
      </c>
      <c r="Z43" s="208"/>
      <c r="AA43" s="208"/>
      <c r="AB43" s="208"/>
      <c r="AC43" s="208"/>
    </row>
    <row r="44" spans="2:31" x14ac:dyDescent="0.2">
      <c r="B44" s="197" t="s">
        <v>331</v>
      </c>
      <c r="C44" s="20"/>
      <c r="D44" s="20"/>
      <c r="E44" s="20"/>
      <c r="F44" s="20">
        <v>7637</v>
      </c>
      <c r="G44" s="20">
        <v>6942</v>
      </c>
      <c r="H44" s="20">
        <v>8887</v>
      </c>
      <c r="I44" s="20">
        <v>9409</v>
      </c>
      <c r="J44" s="20">
        <v>9164</v>
      </c>
      <c r="K44" s="20">
        <v>4806</v>
      </c>
      <c r="L44" s="20">
        <v>2959</v>
      </c>
      <c r="M44" s="20">
        <v>2332</v>
      </c>
      <c r="N44" s="20">
        <v>40143</v>
      </c>
      <c r="O44" s="20">
        <v>24744</v>
      </c>
      <c r="P44" s="20">
        <v>68399</v>
      </c>
      <c r="Q44" s="20">
        <v>55688</v>
      </c>
      <c r="R44" s="20">
        <v>71156</v>
      </c>
      <c r="S44" s="20">
        <v>61425</v>
      </c>
      <c r="T44" s="20">
        <v>64241</v>
      </c>
      <c r="U44" s="20">
        <v>61114</v>
      </c>
      <c r="V44" s="20">
        <v>46002</v>
      </c>
      <c r="W44" s="20">
        <v>44413</v>
      </c>
      <c r="X44" s="20">
        <v>43039</v>
      </c>
      <c r="Y44" s="20">
        <v>32061</v>
      </c>
      <c r="Z44" s="20">
        <v>36202</v>
      </c>
      <c r="AA44" s="20">
        <v>62091</v>
      </c>
      <c r="AB44" s="20">
        <v>50025</v>
      </c>
      <c r="AC44" s="20">
        <v>70302</v>
      </c>
    </row>
    <row r="45" spans="2:31" x14ac:dyDescent="0.2">
      <c r="B45" s="201" t="s">
        <v>332</v>
      </c>
      <c r="C45" s="29">
        <f t="shared" ref="C45:N45" si="182">C32+C42</f>
        <v>13183</v>
      </c>
      <c r="D45" s="29">
        <f t="shared" si="182"/>
        <v>14186</v>
      </c>
      <c r="E45" s="29">
        <f t="shared" si="182"/>
        <v>15212</v>
      </c>
      <c r="F45" s="29">
        <f t="shared" si="182"/>
        <v>16397</v>
      </c>
      <c r="G45" s="29">
        <f t="shared" si="182"/>
        <v>18021</v>
      </c>
      <c r="H45" s="29">
        <f t="shared" si="182"/>
        <v>18902</v>
      </c>
      <c r="I45" s="29">
        <f t="shared" si="182"/>
        <v>20774</v>
      </c>
      <c r="J45" s="29">
        <f t="shared" si="182"/>
        <v>22921</v>
      </c>
      <c r="K45" s="29">
        <f t="shared" si="182"/>
        <v>20506</v>
      </c>
      <c r="L45" s="29">
        <f t="shared" si="182"/>
        <v>20652</v>
      </c>
      <c r="M45" s="29">
        <f t="shared" si="182"/>
        <v>24148</v>
      </c>
      <c r="N45" s="29">
        <f t="shared" si="182"/>
        <v>27855</v>
      </c>
      <c r="O45" s="29">
        <f t="shared" ref="O45:P45" si="183">O32+O42</f>
        <v>36959</v>
      </c>
      <c r="P45" s="29">
        <f t="shared" si="183"/>
        <v>44472</v>
      </c>
      <c r="Q45" s="29">
        <f t="shared" ref="Q45:R45" si="184">Q32+Q42</f>
        <v>51558</v>
      </c>
      <c r="R45" s="29">
        <f t="shared" si="184"/>
        <v>56828</v>
      </c>
      <c r="S45" s="29">
        <f t="shared" ref="S45:T45" si="185">S32+S42</f>
        <v>59095</v>
      </c>
      <c r="T45" s="29">
        <f t="shared" si="185"/>
        <v>62863</v>
      </c>
      <c r="U45" s="29">
        <f t="shared" ref="U45:V45" si="186">U32+U42</f>
        <v>65431</v>
      </c>
      <c r="V45" s="29">
        <f t="shared" si="186"/>
        <v>64324</v>
      </c>
      <c r="W45" s="29">
        <f t="shared" ref="W45:X45" si="187">W32+W42</f>
        <v>65716</v>
      </c>
      <c r="X45" s="29">
        <f t="shared" si="187"/>
        <v>68438</v>
      </c>
      <c r="Y45" s="29">
        <f t="shared" ref="Y45:Z45" si="188">Y32+Y42</f>
        <v>81994</v>
      </c>
      <c r="Z45" s="29">
        <f t="shared" si="188"/>
        <v>89908</v>
      </c>
      <c r="AA45" s="29">
        <f t="shared" ref="AA45:AB45" si="189">AA32+AA42</f>
        <v>95776</v>
      </c>
      <c r="AB45" s="29">
        <f t="shared" si="189"/>
        <v>119730</v>
      </c>
      <c r="AC45" s="29">
        <f t="shared" ref="AC45" si="190">AC32+AC42</f>
        <v>130158</v>
      </c>
    </row>
    <row r="46" spans="2:31" x14ac:dyDescent="0.2">
      <c r="B46" s="201" t="s">
        <v>390</v>
      </c>
      <c r="C46" s="29"/>
      <c r="D46" s="29"/>
      <c r="E46" s="29"/>
      <c r="F46" s="29"/>
      <c r="G46" s="29">
        <f t="shared" ref="G46:N46" si="191">G37+G44</f>
        <v>9979</v>
      </c>
      <c r="H46" s="29">
        <f t="shared" si="191"/>
        <v>21873</v>
      </c>
      <c r="I46" s="29">
        <f t="shared" si="191"/>
        <v>26051</v>
      </c>
      <c r="J46" s="29">
        <f t="shared" si="191"/>
        <v>22170</v>
      </c>
      <c r="K46" s="29">
        <f t="shared" si="191"/>
        <v>10038</v>
      </c>
      <c r="L46" s="29">
        <f t="shared" si="191"/>
        <v>8130</v>
      </c>
      <c r="M46" s="29">
        <f t="shared" si="191"/>
        <v>7749</v>
      </c>
      <c r="N46" s="29">
        <f t="shared" si="191"/>
        <v>45969</v>
      </c>
      <c r="O46" s="29">
        <f t="shared" ref="O46:P46" si="192">O37+O44</f>
        <v>31031</v>
      </c>
      <c r="P46" s="29">
        <f t="shared" si="192"/>
        <v>75632</v>
      </c>
      <c r="Q46" s="29">
        <f t="shared" ref="Q46:R46" si="193">Q37+Q44</f>
        <v>64479</v>
      </c>
      <c r="R46" s="29">
        <f t="shared" si="193"/>
        <v>79339</v>
      </c>
      <c r="S46" s="29">
        <f t="shared" ref="S46:T46" si="194">S37+S44</f>
        <v>69391</v>
      </c>
      <c r="T46" s="29">
        <f t="shared" si="194"/>
        <v>72391</v>
      </c>
      <c r="U46" s="29">
        <f t="shared" ref="U46:V46" si="195">U37+U44</f>
        <v>69427</v>
      </c>
      <c r="V46" s="29">
        <f t="shared" si="195"/>
        <v>54371</v>
      </c>
      <c r="W46" s="29">
        <f t="shared" ref="W46:X46" si="196">W37+W44</f>
        <v>53979</v>
      </c>
      <c r="X46" s="29">
        <f t="shared" si="196"/>
        <v>54369</v>
      </c>
      <c r="Y46" s="29">
        <f t="shared" ref="Y46:Z46" si="197">Y37+Y44</f>
        <v>46803</v>
      </c>
      <c r="Z46" s="29">
        <f t="shared" si="197"/>
        <v>53695</v>
      </c>
      <c r="AA46" s="29">
        <f t="shared" ref="AA46:AB46" si="198">AA37+AA44</f>
        <v>80440</v>
      </c>
      <c r="AB46" s="29">
        <f t="shared" si="198"/>
        <v>72042</v>
      </c>
      <c r="AC46" s="29">
        <f t="shared" ref="AC46" si="199">AC37+AC44</f>
        <v>93377</v>
      </c>
    </row>
    <row r="48" spans="2:31" x14ac:dyDescent="0.2">
      <c r="B48" s="176" t="s">
        <v>336</v>
      </c>
      <c r="C48" s="179"/>
      <c r="D48" s="179"/>
      <c r="E48" s="195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</row>
    <row r="50" spans="2:29" s="95" customFormat="1" x14ac:dyDescent="0.2">
      <c r="B50" s="201" t="s">
        <v>104</v>
      </c>
      <c r="C50" s="209">
        <v>200691</v>
      </c>
      <c r="D50" s="209">
        <v>214887</v>
      </c>
      <c r="E50" s="209">
        <f>SUM(E51:E54)</f>
        <v>235051</v>
      </c>
      <c r="F50" s="209">
        <v>255354</v>
      </c>
      <c r="G50" s="209">
        <v>274142</v>
      </c>
      <c r="H50" s="209">
        <f t="shared" ref="H50:M50" si="200">SUM(H51:H54)</f>
        <v>285868</v>
      </c>
      <c r="I50" s="209">
        <f t="shared" si="200"/>
        <v>285223</v>
      </c>
      <c r="J50" s="209">
        <f t="shared" si="200"/>
        <v>308352</v>
      </c>
      <c r="K50" s="209">
        <f t="shared" si="200"/>
        <v>320793</v>
      </c>
      <c r="L50" s="209">
        <f t="shared" si="200"/>
        <v>337986</v>
      </c>
      <c r="M50" s="209">
        <f t="shared" si="200"/>
        <v>454539</v>
      </c>
      <c r="N50" s="209">
        <f t="shared" ref="N50:S50" si="201">SUM(N51:N54)</f>
        <v>489932</v>
      </c>
      <c r="O50" s="209">
        <f t="shared" si="201"/>
        <v>540295</v>
      </c>
      <c r="P50" s="209">
        <f t="shared" si="201"/>
        <v>551336</v>
      </c>
      <c r="Q50" s="209">
        <f t="shared" si="201"/>
        <v>569105</v>
      </c>
      <c r="R50" s="209">
        <f t="shared" si="201"/>
        <v>604988</v>
      </c>
      <c r="S50" s="209">
        <f t="shared" si="201"/>
        <v>626685</v>
      </c>
      <c r="T50" s="209">
        <f t="shared" ref="T50:U50" si="202">SUM(T51:T54)</f>
        <v>654369</v>
      </c>
      <c r="U50" s="209">
        <f t="shared" si="202"/>
        <v>716805</v>
      </c>
      <c r="V50" s="209">
        <f t="shared" ref="V50:W50" si="203">SUM(V51:V54)</f>
        <v>777215</v>
      </c>
      <c r="W50" s="209">
        <f t="shared" si="203"/>
        <v>837920</v>
      </c>
      <c r="X50" s="209">
        <f t="shared" ref="X50:Y50" si="204">SUM(X51:X54)</f>
        <v>1101170</v>
      </c>
      <c r="Y50" s="209">
        <f t="shared" si="204"/>
        <v>1181496</v>
      </c>
      <c r="Z50" s="209">
        <f t="shared" ref="Z50:AA50" si="205">SUM(Z51:Z54)</f>
        <v>1284078</v>
      </c>
      <c r="AA50" s="209">
        <f t="shared" si="205"/>
        <v>1352302</v>
      </c>
      <c r="AB50" s="209">
        <f t="shared" ref="AB50:AC50" si="206">SUM(AB51:AB54)</f>
        <v>1376002</v>
      </c>
      <c r="AC50" s="209">
        <f t="shared" si="206"/>
        <v>1391468</v>
      </c>
    </row>
    <row r="51" spans="2:29" s="95" customFormat="1" x14ac:dyDescent="0.2">
      <c r="B51" s="199" t="s">
        <v>362</v>
      </c>
      <c r="C51" s="131"/>
      <c r="D51" s="131"/>
      <c r="E51" s="208">
        <f>Sovcombank!Z185</f>
        <v>51045</v>
      </c>
      <c r="F51" s="208">
        <f>Sovcombank!AA185</f>
        <v>55198</v>
      </c>
      <c r="G51" s="208">
        <f>Sovcombank!AB185</f>
        <v>60947</v>
      </c>
      <c r="H51" s="208">
        <f>Sovcombank!AC185</f>
        <v>64714</v>
      </c>
      <c r="I51" s="208">
        <f>Sovcombank!AD185</f>
        <v>63412</v>
      </c>
      <c r="J51" s="208">
        <f>Sovcombank!AE185</f>
        <v>65944</v>
      </c>
      <c r="K51" s="208">
        <f>Sovcombank!AF185</f>
        <v>68547</v>
      </c>
      <c r="L51" s="208">
        <f>Sovcombank!AG185</f>
        <v>71673</v>
      </c>
      <c r="M51" s="208">
        <f>Sovcombank!AH185</f>
        <v>88129</v>
      </c>
      <c r="N51" s="208">
        <f>Sovcombank!AI185</f>
        <v>96766</v>
      </c>
      <c r="O51" s="208">
        <f>Sovcombank!AJ185</f>
        <v>136250</v>
      </c>
      <c r="P51" s="208">
        <f>Sovcombank!AK185</f>
        <v>137423</v>
      </c>
      <c r="Q51" s="208">
        <f>Sovcombank!AL185</f>
        <v>139223</v>
      </c>
      <c r="R51" s="208">
        <f>Sovcombank!AM185</f>
        <v>145082</v>
      </c>
      <c r="S51" s="208">
        <f>Sovcombank!AN185</f>
        <v>148990</v>
      </c>
      <c r="T51" s="208">
        <f>Sovcombank!AO185</f>
        <v>149554</v>
      </c>
      <c r="U51" s="208">
        <f>Sovcombank!AP185</f>
        <v>170854</v>
      </c>
      <c r="V51" s="208">
        <f>Sovcombank!AQ185</f>
        <v>174851</v>
      </c>
      <c r="W51" s="208">
        <f>Sovcombank!AR185</f>
        <v>178010</v>
      </c>
      <c r="X51" s="208">
        <f>Sovcombank!AS185</f>
        <v>361928</v>
      </c>
      <c r="Y51" s="208">
        <f>Sovcombank!AT185</f>
        <v>368150</v>
      </c>
      <c r="Z51" s="208">
        <f>Sovcombank!AU185</f>
        <v>357357</v>
      </c>
      <c r="AA51" s="208">
        <f>Sovcombank!AV185</f>
        <v>356656</v>
      </c>
      <c r="AB51" s="208">
        <f>Sovcombank!AW185</f>
        <v>350958</v>
      </c>
      <c r="AC51" s="208">
        <f>Sovcombank!AX185</f>
        <v>336177</v>
      </c>
    </row>
    <row r="52" spans="2:29" s="95" customFormat="1" x14ac:dyDescent="0.2">
      <c r="B52" s="199" t="s">
        <v>363</v>
      </c>
      <c r="C52" s="131"/>
      <c r="D52" s="131"/>
      <c r="E52" s="208">
        <f>Sovcombank!Z186</f>
        <v>32663</v>
      </c>
      <c r="F52" s="208">
        <f>Sovcombank!AA186</f>
        <v>38252</v>
      </c>
      <c r="G52" s="208">
        <f>Sovcombank!AB186</f>
        <v>43206</v>
      </c>
      <c r="H52" s="208">
        <f>Sovcombank!AC186</f>
        <v>46175</v>
      </c>
      <c r="I52" s="208">
        <f>Sovcombank!AD186</f>
        <v>47279</v>
      </c>
      <c r="J52" s="208">
        <f>Sovcombank!AE186</f>
        <v>57895</v>
      </c>
      <c r="K52" s="208">
        <f>Sovcombank!AF186</f>
        <v>60915</v>
      </c>
      <c r="L52" s="208">
        <f>Sovcombank!AG186</f>
        <v>64061</v>
      </c>
      <c r="M52" s="208">
        <f>Sovcombank!AH186</f>
        <v>125009</v>
      </c>
      <c r="N52" s="208">
        <f>Sovcombank!AI186</f>
        <v>127099</v>
      </c>
      <c r="O52" s="208">
        <f>Sovcombank!AJ186</f>
        <v>106705</v>
      </c>
      <c r="P52" s="208">
        <f>Sovcombank!AK186</f>
        <v>110135</v>
      </c>
      <c r="Q52" s="208">
        <f>Sovcombank!AL186</f>
        <v>117642</v>
      </c>
      <c r="R52" s="208">
        <f>Sovcombank!AM186</f>
        <v>124700</v>
      </c>
      <c r="S52" s="208">
        <f>Sovcombank!AN186</f>
        <v>125204</v>
      </c>
      <c r="T52" s="208">
        <f>Sovcombank!AO186</f>
        <v>135169</v>
      </c>
      <c r="U52" s="208">
        <f>Sovcombank!AP186</f>
        <v>126119</v>
      </c>
      <c r="V52" s="208">
        <f>Sovcombank!AQ186</f>
        <v>128804</v>
      </c>
      <c r="W52" s="208">
        <f>Sovcombank!AR186</f>
        <v>135377</v>
      </c>
      <c r="X52" s="208">
        <f>Sovcombank!AS186</f>
        <v>155251</v>
      </c>
      <c r="Y52" s="208">
        <f>Sovcombank!AT186</f>
        <v>158117</v>
      </c>
      <c r="Z52" s="208">
        <f>Sovcombank!AU186</f>
        <v>164365</v>
      </c>
      <c r="AA52" s="208">
        <f>Sovcombank!AV186</f>
        <v>172914</v>
      </c>
      <c r="AB52" s="208">
        <f>Sovcombank!AW186</f>
        <v>177094</v>
      </c>
      <c r="AC52" s="208">
        <f>Sovcombank!AX186</f>
        <v>179965</v>
      </c>
    </row>
    <row r="53" spans="2:29" s="95" customFormat="1" x14ac:dyDescent="0.2">
      <c r="B53" s="199" t="s">
        <v>243</v>
      </c>
      <c r="C53" s="131"/>
      <c r="D53" s="131"/>
      <c r="E53" s="208">
        <f>Sovcombank!Z183</f>
        <v>88868</v>
      </c>
      <c r="F53" s="208">
        <f>Sovcombank!AA183</f>
        <v>97461</v>
      </c>
      <c r="G53" s="208">
        <f>Sovcombank!AB183</f>
        <v>101943</v>
      </c>
      <c r="H53" s="208">
        <f>Sovcombank!AC183</f>
        <v>104799</v>
      </c>
      <c r="I53" s="208">
        <f>Sovcombank!AD183</f>
        <v>104008</v>
      </c>
      <c r="J53" s="208">
        <f>Sovcombank!AE183</f>
        <v>110151</v>
      </c>
      <c r="K53" s="208">
        <f>Sovcombank!AF183</f>
        <v>108886</v>
      </c>
      <c r="L53" s="208">
        <f>Sovcombank!AG183</f>
        <v>111967</v>
      </c>
      <c r="M53" s="208">
        <f>Sovcombank!AH183</f>
        <v>120783</v>
      </c>
      <c r="N53" s="208">
        <f>Sovcombank!AI183</f>
        <v>130815</v>
      </c>
      <c r="O53" s="208">
        <f>Sovcombank!AJ183</f>
        <v>140755</v>
      </c>
      <c r="P53" s="208">
        <f>Sovcombank!AK183</f>
        <v>143990</v>
      </c>
      <c r="Q53" s="208">
        <f>Sovcombank!AL183</f>
        <v>149501</v>
      </c>
      <c r="R53" s="208">
        <f>Sovcombank!AM183</f>
        <v>159511</v>
      </c>
      <c r="S53" s="208">
        <f>Sovcombank!AN183</f>
        <v>166288</v>
      </c>
      <c r="T53" s="208">
        <f>Sovcombank!AO183</f>
        <v>175671</v>
      </c>
      <c r="U53" s="208">
        <f>Sovcombank!AP183</f>
        <v>209115</v>
      </c>
      <c r="V53" s="208">
        <f>Sovcombank!AQ183</f>
        <v>241879</v>
      </c>
      <c r="W53" s="208">
        <f>Sovcombank!AR183</f>
        <v>271935</v>
      </c>
      <c r="X53" s="208">
        <f>Sovcombank!AS183</f>
        <v>303960</v>
      </c>
      <c r="Y53" s="208">
        <f>Sovcombank!AT183</f>
        <v>351004</v>
      </c>
      <c r="Z53" s="208">
        <f>Sovcombank!AU183</f>
        <v>436555</v>
      </c>
      <c r="AA53" s="208">
        <f>Sovcombank!AV183</f>
        <v>475119</v>
      </c>
      <c r="AB53" s="208">
        <f>Sovcombank!AW183</f>
        <v>494921</v>
      </c>
      <c r="AC53" s="208">
        <f>Sovcombank!AX183</f>
        <v>512878</v>
      </c>
    </row>
    <row r="54" spans="2:29" s="95" customFormat="1" x14ac:dyDescent="0.2">
      <c r="B54" s="199" t="s">
        <v>329</v>
      </c>
      <c r="C54" s="131"/>
      <c r="D54" s="131"/>
      <c r="E54" s="208">
        <f>Sovcombank!Z184</f>
        <v>62475</v>
      </c>
      <c r="F54" s="208">
        <f>Sovcombank!AA184</f>
        <v>64443</v>
      </c>
      <c r="G54" s="208">
        <f>Sovcombank!AB184</f>
        <v>68046</v>
      </c>
      <c r="H54" s="208">
        <f>Sovcombank!AC184</f>
        <v>70180</v>
      </c>
      <c r="I54" s="208">
        <f>Sovcombank!AD184</f>
        <v>70524</v>
      </c>
      <c r="J54" s="208">
        <f>Sovcombank!AE184</f>
        <v>74362</v>
      </c>
      <c r="K54" s="208">
        <f>Sovcombank!AF184</f>
        <v>82445</v>
      </c>
      <c r="L54" s="208">
        <f>Sovcombank!AG184</f>
        <v>90285</v>
      </c>
      <c r="M54" s="208">
        <f>Sovcombank!AH184</f>
        <v>120618</v>
      </c>
      <c r="N54" s="208">
        <f>Sovcombank!AI184</f>
        <v>135252</v>
      </c>
      <c r="O54" s="208">
        <f>Sovcombank!AJ184</f>
        <v>156585</v>
      </c>
      <c r="P54" s="208">
        <f>Sovcombank!AK184</f>
        <v>159788</v>
      </c>
      <c r="Q54" s="208">
        <f>Sovcombank!AL184</f>
        <v>162739</v>
      </c>
      <c r="R54" s="208">
        <f>Sovcombank!AM184</f>
        <v>175695</v>
      </c>
      <c r="S54" s="208">
        <f>Sovcombank!AN184</f>
        <v>186203</v>
      </c>
      <c r="T54" s="208">
        <f>Sovcombank!AO184</f>
        <v>193975</v>
      </c>
      <c r="U54" s="208">
        <f>Sovcombank!AP184</f>
        <v>210717</v>
      </c>
      <c r="V54" s="208">
        <f>Sovcombank!AQ184</f>
        <v>231681</v>
      </c>
      <c r="W54" s="208">
        <f>Sovcombank!AR184</f>
        <v>252598</v>
      </c>
      <c r="X54" s="208">
        <f>Sovcombank!AS184</f>
        <v>280031</v>
      </c>
      <c r="Y54" s="208">
        <f>Sovcombank!AT184</f>
        <v>304225</v>
      </c>
      <c r="Z54" s="208">
        <f>Sovcombank!AU184</f>
        <v>325801</v>
      </c>
      <c r="AA54" s="208">
        <f>Sovcombank!AV184</f>
        <v>347613</v>
      </c>
      <c r="AB54" s="208">
        <f>Sovcombank!AW184</f>
        <v>353029</v>
      </c>
      <c r="AC54" s="208">
        <f>Sovcombank!AX184</f>
        <v>362448</v>
      </c>
    </row>
    <row r="56" spans="2:29" x14ac:dyDescent="0.2">
      <c r="B56" s="197" t="s">
        <v>105</v>
      </c>
      <c r="C56" s="20">
        <v>48145</v>
      </c>
      <c r="D56" s="20">
        <v>45550</v>
      </c>
      <c r="E56" s="20">
        <v>40380</v>
      </c>
      <c r="F56" s="20">
        <v>38040</v>
      </c>
      <c r="G56" s="20">
        <v>35055</v>
      </c>
      <c r="H56" s="20">
        <f>Sovcombank!AC192</f>
        <v>38389</v>
      </c>
      <c r="I56" s="20">
        <v>33804</v>
      </c>
      <c r="J56" s="20">
        <f>Sovcombank!AE192</f>
        <v>31887</v>
      </c>
      <c r="K56" s="20">
        <f>Sovcombank!AF192</f>
        <v>22938</v>
      </c>
      <c r="L56" s="20">
        <f>Sovcombank!AG192</f>
        <v>18054</v>
      </c>
      <c r="M56" s="20">
        <f>Sovcombank!AH192</f>
        <v>11144</v>
      </c>
      <c r="N56" s="20">
        <f>Sovcombank!AI192</f>
        <v>8797</v>
      </c>
      <c r="O56" s="20">
        <f>Sovcombank!AJ192</f>
        <v>6607</v>
      </c>
      <c r="P56" s="20">
        <f>Sovcombank!AK192</f>
        <v>6933</v>
      </c>
      <c r="Q56" s="20">
        <f>Sovcombank!AL192</f>
        <v>5109</v>
      </c>
      <c r="R56" s="20">
        <f>Sovcombank!AM192</f>
        <v>4354</v>
      </c>
      <c r="S56" s="20">
        <f>Sovcombank!AN192</f>
        <v>3224</v>
      </c>
      <c r="T56" s="20">
        <f>Sovcombank!AO192</f>
        <v>2205</v>
      </c>
      <c r="U56" s="20">
        <f>Sovcombank!AP192</f>
        <v>2142</v>
      </c>
      <c r="V56" s="20">
        <f>Sovcombank!AQ192</f>
        <v>5777</v>
      </c>
      <c r="W56" s="20">
        <f>Sovcombank!AR192</f>
        <v>1960</v>
      </c>
      <c r="X56" s="20">
        <f>Sovcombank!AS192</f>
        <v>1998</v>
      </c>
      <c r="Y56" s="20">
        <f>Sovcombank!AT192</f>
        <v>1944</v>
      </c>
      <c r="Z56" s="20">
        <f>Sovcombank!AU192</f>
        <v>1980</v>
      </c>
      <c r="AA56" s="20">
        <f>Sovcombank!AV192</f>
        <v>1054</v>
      </c>
      <c r="AB56" s="20">
        <f>Sovcombank!AW192</f>
        <v>1075</v>
      </c>
      <c r="AC56" s="20">
        <f>Sovcombank!AX192</f>
        <v>1042</v>
      </c>
    </row>
    <row r="57" spans="2:29" x14ac:dyDescent="0.2">
      <c r="B57" s="197" t="s">
        <v>106</v>
      </c>
      <c r="C57" s="20">
        <v>96127</v>
      </c>
      <c r="D57" s="20">
        <v>83151</v>
      </c>
      <c r="E57" s="20">
        <v>70906</v>
      </c>
      <c r="F57" s="20">
        <v>67677</v>
      </c>
      <c r="G57" s="20">
        <v>62539</v>
      </c>
      <c r="H57" s="20">
        <f>Sovcombank!AC193</f>
        <v>75546</v>
      </c>
      <c r="I57" s="20">
        <v>67796</v>
      </c>
      <c r="J57" s="20">
        <f>Sovcombank!AE193</f>
        <v>70844</v>
      </c>
      <c r="K57" s="20">
        <f>Sovcombank!AF193</f>
        <v>34556</v>
      </c>
      <c r="L57" s="20">
        <f>Sovcombank!AG193</f>
        <v>19425</v>
      </c>
      <c r="M57" s="20">
        <f>Sovcombank!AH193</f>
        <v>17847</v>
      </c>
      <c r="N57" s="20">
        <f>Sovcombank!AI193</f>
        <v>18053</v>
      </c>
      <c r="O57" s="20">
        <f>Sovcombank!AJ193</f>
        <v>14811</v>
      </c>
      <c r="P57" s="20">
        <f>Sovcombank!AK193</f>
        <v>16300</v>
      </c>
      <c r="Q57" s="20">
        <f>Sovcombank!AL193</f>
        <v>5455</v>
      </c>
      <c r="R57" s="20">
        <f>Sovcombank!AM193</f>
        <v>5959</v>
      </c>
      <c r="S57" s="20">
        <f>Sovcombank!AN193</f>
        <v>5508</v>
      </c>
      <c r="T57" s="20">
        <f>Sovcombank!AO193</f>
        <v>6125</v>
      </c>
      <c r="U57" s="20">
        <f>Sovcombank!AP193</f>
        <v>0</v>
      </c>
      <c r="V57" s="20">
        <f>Sovcombank!AQ193</f>
        <v>2862</v>
      </c>
      <c r="W57" s="20">
        <f>Sovcombank!AR193</f>
        <v>0</v>
      </c>
      <c r="X57" s="20">
        <f>Sovcombank!AS193</f>
        <v>0</v>
      </c>
      <c r="Y57" s="20">
        <f>Sovcombank!AT193</f>
        <v>0</v>
      </c>
      <c r="Z57" s="20">
        <f>Sovcombank!AU193</f>
        <v>0</v>
      </c>
      <c r="AA57" s="20">
        <f>Sovcombank!AV193</f>
        <v>0</v>
      </c>
      <c r="AB57" s="20">
        <f>Sovcombank!AW193</f>
        <v>0</v>
      </c>
      <c r="AC57" s="20">
        <f>Sovcombank!AX193</f>
        <v>0</v>
      </c>
    </row>
    <row r="58" spans="2:29" x14ac:dyDescent="0.2">
      <c r="B58" s="197" t="s">
        <v>258</v>
      </c>
      <c r="C58" s="20">
        <v>16001</v>
      </c>
      <c r="D58" s="20">
        <v>15732</v>
      </c>
      <c r="E58" s="20">
        <v>15550</v>
      </c>
      <c r="F58" s="20">
        <v>15334</v>
      </c>
      <c r="G58" s="20">
        <v>15026</v>
      </c>
      <c r="H58" s="20">
        <f>Sovcombank!AC194</f>
        <v>15837</v>
      </c>
      <c r="I58" s="20">
        <v>15824</v>
      </c>
      <c r="J58" s="20">
        <f>Sovcombank!AE194</f>
        <v>9448</v>
      </c>
      <c r="K58" s="20">
        <f>Sovcombank!AF194</f>
        <v>8464</v>
      </c>
      <c r="L58" s="20">
        <f>Sovcombank!AG194</f>
        <v>7024</v>
      </c>
      <c r="M58" s="20">
        <f>Sovcombank!AH194</f>
        <v>6784</v>
      </c>
      <c r="N58" s="20">
        <f>Sovcombank!AI194</f>
        <v>6465</v>
      </c>
      <c r="O58" s="20">
        <f>Sovcombank!AJ194</f>
        <v>5620</v>
      </c>
      <c r="P58" s="20">
        <f>Sovcombank!AK194</f>
        <v>1779</v>
      </c>
      <c r="Q58" s="20">
        <f>Sovcombank!AL194</f>
        <v>1768</v>
      </c>
      <c r="R58" s="20">
        <f>Sovcombank!AM194</f>
        <v>1373</v>
      </c>
      <c r="S58" s="20">
        <f>Sovcombank!AN194</f>
        <v>789</v>
      </c>
      <c r="T58" s="20">
        <f>Sovcombank!AO194</f>
        <v>783</v>
      </c>
      <c r="U58" s="20">
        <f>Sovcombank!AP194</f>
        <v>776</v>
      </c>
      <c r="V58" s="20">
        <f>Sovcombank!AQ194</f>
        <v>7889</v>
      </c>
      <c r="W58" s="20">
        <f>Sovcombank!AR194</f>
        <v>0</v>
      </c>
      <c r="X58" s="20">
        <f>Sovcombank!AS194</f>
        <v>0</v>
      </c>
      <c r="Y58" s="20">
        <f>Sovcombank!AT194</f>
        <v>0</v>
      </c>
      <c r="Z58" s="20">
        <f>Sovcombank!AU194</f>
        <v>0</v>
      </c>
      <c r="AA58" s="20">
        <f>Sovcombank!AV194</f>
        <v>0</v>
      </c>
      <c r="AB58" s="20">
        <f>Sovcombank!AW194</f>
        <v>0</v>
      </c>
      <c r="AC58" s="20">
        <f>Sovcombank!AX194</f>
        <v>0</v>
      </c>
    </row>
    <row r="59" spans="2:29" x14ac:dyDescent="0.2">
      <c r="B59" s="197" t="s">
        <v>107</v>
      </c>
      <c r="C59" s="20">
        <v>6347</v>
      </c>
      <c r="D59" s="20">
        <v>4964</v>
      </c>
      <c r="E59" s="20">
        <v>4810</v>
      </c>
      <c r="F59" s="20">
        <v>6459</v>
      </c>
      <c r="G59" s="20">
        <v>7205</v>
      </c>
      <c r="H59" s="20">
        <f>Sovcombank!AC195</f>
        <v>6486</v>
      </c>
      <c r="I59" s="20">
        <v>6090</v>
      </c>
      <c r="J59" s="20">
        <f>Sovcombank!AE195</f>
        <v>6484</v>
      </c>
      <c r="K59" s="20">
        <f>Sovcombank!AF195</f>
        <v>8806</v>
      </c>
      <c r="L59" s="20">
        <f>Sovcombank!AG195</f>
        <v>7917</v>
      </c>
      <c r="M59" s="20">
        <f>Sovcombank!AH195</f>
        <v>8839</v>
      </c>
      <c r="N59" s="20">
        <f>Sovcombank!AI195</f>
        <v>12421</v>
      </c>
      <c r="O59" s="20">
        <f>Sovcombank!AJ195</f>
        <v>22260</v>
      </c>
      <c r="P59" s="20">
        <f>Sovcombank!AK195</f>
        <v>20538</v>
      </c>
      <c r="Q59" s="20">
        <f>Sovcombank!AL195</f>
        <v>16154</v>
      </c>
      <c r="R59" s="20">
        <f>Sovcombank!AM195</f>
        <v>11795</v>
      </c>
      <c r="S59" s="20">
        <f>Sovcombank!AN195</f>
        <v>28473</v>
      </c>
      <c r="T59" s="20">
        <f>Sovcombank!AO195</f>
        <v>16980</v>
      </c>
      <c r="U59" s="20">
        <f>Sovcombank!AP195</f>
        <v>16902</v>
      </c>
      <c r="V59" s="20">
        <f>Sovcombank!AQ195</f>
        <v>14442</v>
      </c>
      <c r="W59" s="20">
        <f>Sovcombank!AR195</f>
        <v>26817</v>
      </c>
      <c r="X59" s="20">
        <f>Sovcombank!AS195</f>
        <v>20999</v>
      </c>
      <c r="Y59" s="20">
        <f>Sovcombank!AT195</f>
        <v>14080</v>
      </c>
      <c r="Z59" s="20">
        <f>Sovcombank!AU195</f>
        <v>13148</v>
      </c>
      <c r="AA59" s="20">
        <f>Sovcombank!AV195</f>
        <v>30714</v>
      </c>
      <c r="AB59" s="20">
        <f>Sovcombank!AW195</f>
        <v>10444</v>
      </c>
      <c r="AC59" s="20">
        <f>Sovcombank!AX195</f>
        <v>39453</v>
      </c>
    </row>
    <row r="60" spans="2:29" x14ac:dyDescent="0.2">
      <c r="B60" s="197" t="s">
        <v>108</v>
      </c>
      <c r="C60" s="20">
        <v>149063</v>
      </c>
      <c r="D60" s="20">
        <v>154170</v>
      </c>
      <c r="E60" s="20">
        <v>144433</v>
      </c>
      <c r="F60" s="20">
        <v>143243</v>
      </c>
      <c r="G60" s="20">
        <v>160286</v>
      </c>
      <c r="H60" s="20">
        <f>Sovcombank!AC196</f>
        <v>202073</v>
      </c>
      <c r="I60" s="20">
        <v>240917</v>
      </c>
      <c r="J60" s="20">
        <f>Sovcombank!AE196</f>
        <v>216732</v>
      </c>
      <c r="K60" s="20">
        <f>Sovcombank!AF196</f>
        <v>262058</v>
      </c>
      <c r="L60" s="20">
        <f>Sovcombank!AG196</f>
        <v>336130</v>
      </c>
      <c r="M60" s="20">
        <f>Sovcombank!AH196</f>
        <v>421453</v>
      </c>
      <c r="N60" s="20">
        <f>Sovcombank!AI196</f>
        <v>447912</v>
      </c>
      <c r="O60" s="20">
        <f>Sovcombank!AJ196</f>
        <v>487997</v>
      </c>
      <c r="P60" s="20">
        <f>Sovcombank!AK196</f>
        <v>444162</v>
      </c>
      <c r="Q60" s="20">
        <f>Sovcombank!AL196</f>
        <v>476516</v>
      </c>
      <c r="R60" s="20">
        <f>Sovcombank!AM196</f>
        <v>575431</v>
      </c>
      <c r="S60" s="20">
        <f>Sovcombank!AN196</f>
        <v>633551</v>
      </c>
      <c r="T60" s="20">
        <f>Sovcombank!AO196</f>
        <v>677080</v>
      </c>
      <c r="U60" s="20">
        <f>Sovcombank!AP196</f>
        <v>688231</v>
      </c>
      <c r="V60" s="20">
        <f>Sovcombank!AQ196</f>
        <v>781632</v>
      </c>
      <c r="W60" s="20">
        <f>Sovcombank!AR196</f>
        <v>878786</v>
      </c>
      <c r="X60" s="20">
        <f>Sovcombank!AS196</f>
        <v>964363</v>
      </c>
      <c r="Y60" s="20">
        <f>Sovcombank!AT196</f>
        <v>1010842</v>
      </c>
      <c r="Z60" s="20">
        <f>Sovcombank!AU196</f>
        <v>1005760</v>
      </c>
      <c r="AA60" s="20">
        <f>Sovcombank!AV196</f>
        <v>1077949</v>
      </c>
      <c r="AB60" s="20">
        <f>Sovcombank!AW196</f>
        <v>1055297</v>
      </c>
      <c r="AC60" s="20">
        <f>Sovcombank!AX196</f>
        <v>1069115</v>
      </c>
    </row>
    <row r="61" spans="2:29" x14ac:dyDescent="0.2">
      <c r="B61" s="197" t="s">
        <v>109</v>
      </c>
      <c r="C61" s="20">
        <v>42050</v>
      </c>
      <c r="D61" s="20">
        <v>41306</v>
      </c>
      <c r="E61" s="20">
        <v>44054</v>
      </c>
      <c r="F61" s="20">
        <v>47738</v>
      </c>
      <c r="G61" s="20">
        <v>53876</v>
      </c>
      <c r="H61" s="20">
        <f>Sovcombank!AC197</f>
        <v>54812</v>
      </c>
      <c r="I61" s="20">
        <v>57915</v>
      </c>
      <c r="J61" s="20">
        <f>Sovcombank!AE197</f>
        <v>68720</v>
      </c>
      <c r="K61" s="20">
        <f>Sovcombank!AF197</f>
        <v>85775</v>
      </c>
      <c r="L61" s="20">
        <f>Sovcombank!AG197</f>
        <v>103094</v>
      </c>
      <c r="M61" s="20">
        <f>Sovcombank!AH197</f>
        <v>115402</v>
      </c>
      <c r="N61" s="20">
        <f>Sovcombank!AI197</f>
        <v>152784</v>
      </c>
      <c r="O61" s="20">
        <f>Sovcombank!AJ197</f>
        <v>174425</v>
      </c>
      <c r="P61" s="20">
        <f>Sovcombank!AK197</f>
        <v>168634</v>
      </c>
      <c r="Q61" s="20">
        <f>Sovcombank!AL197</f>
        <v>159954</v>
      </c>
      <c r="R61" s="20">
        <f>Sovcombank!AM197</f>
        <v>167249</v>
      </c>
      <c r="S61" s="20">
        <f>Sovcombank!AN197</f>
        <v>169197</v>
      </c>
      <c r="T61" s="20">
        <f>Sovcombank!AO197</f>
        <v>176173</v>
      </c>
      <c r="U61" s="20">
        <f>Sovcombank!AP197</f>
        <v>190070</v>
      </c>
      <c r="V61" s="20">
        <f>Sovcombank!AQ197</f>
        <v>219555</v>
      </c>
      <c r="W61" s="20">
        <f>Sovcombank!AR197</f>
        <v>237271</v>
      </c>
      <c r="X61" s="20">
        <f>Sovcombank!AS197</f>
        <v>243354</v>
      </c>
      <c r="Y61" s="20">
        <f>Sovcombank!AT197</f>
        <v>267331</v>
      </c>
      <c r="Z61" s="20">
        <f>Sovcombank!AU197</f>
        <v>287124</v>
      </c>
      <c r="AA61" s="20">
        <f>Sovcombank!AV197</f>
        <v>320111</v>
      </c>
      <c r="AB61" s="20">
        <f>Sovcombank!AW197</f>
        <v>300914</v>
      </c>
      <c r="AC61" s="20">
        <f>Sovcombank!AX197</f>
        <v>343913</v>
      </c>
    </row>
    <row r="62" spans="2:29" x14ac:dyDescent="0.2">
      <c r="B62" s="211" t="s">
        <v>337</v>
      </c>
      <c r="C62" s="29">
        <f>SUM(C56:C61)</f>
        <v>357733</v>
      </c>
      <c r="D62" s="29">
        <f>SUM(D56:D61)</f>
        <v>344873</v>
      </c>
      <c r="E62" s="29">
        <f t="shared" ref="E62:J62" si="207">SUM(E56:E61)</f>
        <v>320133</v>
      </c>
      <c r="F62" s="29">
        <f t="shared" si="207"/>
        <v>318491</v>
      </c>
      <c r="G62" s="29">
        <f t="shared" si="207"/>
        <v>333987</v>
      </c>
      <c r="H62" s="29">
        <f>SUM(H56:H61)</f>
        <v>393143</v>
      </c>
      <c r="I62" s="29">
        <f t="shared" si="207"/>
        <v>422346</v>
      </c>
      <c r="J62" s="29">
        <f t="shared" si="207"/>
        <v>404115</v>
      </c>
      <c r="K62" s="29">
        <f t="shared" ref="K62:P62" si="208">SUM(K56:K61)</f>
        <v>422597</v>
      </c>
      <c r="L62" s="29">
        <f t="shared" si="208"/>
        <v>491644</v>
      </c>
      <c r="M62" s="29">
        <f t="shared" si="208"/>
        <v>581469</v>
      </c>
      <c r="N62" s="29">
        <f t="shared" si="208"/>
        <v>646432</v>
      </c>
      <c r="O62" s="29">
        <f t="shared" si="208"/>
        <v>711720</v>
      </c>
      <c r="P62" s="29">
        <f t="shared" si="208"/>
        <v>658346</v>
      </c>
      <c r="Q62" s="29">
        <f t="shared" ref="Q62:R62" si="209">SUM(Q56:Q61)</f>
        <v>664956</v>
      </c>
      <c r="R62" s="29">
        <f t="shared" si="209"/>
        <v>766161</v>
      </c>
      <c r="S62" s="29">
        <f t="shared" ref="S62:T62" si="210">SUM(S56:S61)</f>
        <v>840742</v>
      </c>
      <c r="T62" s="29">
        <f t="shared" si="210"/>
        <v>879346</v>
      </c>
      <c r="U62" s="29">
        <f t="shared" ref="U62:V62" si="211">SUM(U56:U61)</f>
        <v>898121</v>
      </c>
      <c r="V62" s="29">
        <f t="shared" si="211"/>
        <v>1032157</v>
      </c>
      <c r="W62" s="29">
        <f t="shared" ref="W62:X62" si="212">SUM(W56:W61)</f>
        <v>1144834</v>
      </c>
      <c r="X62" s="29">
        <f t="shared" si="212"/>
        <v>1230714</v>
      </c>
      <c r="Y62" s="29">
        <f t="shared" ref="Y62:Z62" si="213">SUM(Y56:Y61)</f>
        <v>1294197</v>
      </c>
      <c r="Z62" s="29">
        <f t="shared" si="213"/>
        <v>1308012</v>
      </c>
      <c r="AA62" s="29">
        <f t="shared" ref="AA62:AB62" si="214">SUM(AA56:AA61)</f>
        <v>1429828</v>
      </c>
      <c r="AB62" s="29">
        <f t="shared" si="214"/>
        <v>1367730</v>
      </c>
      <c r="AC62" s="29">
        <f t="shared" ref="AC62" si="215">SUM(AC56:AC61)</f>
        <v>1453523</v>
      </c>
    </row>
    <row r="63" spans="2:29" x14ac:dyDescent="0.2">
      <c r="B63" s="211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</row>
    <row r="64" spans="2:29" x14ac:dyDescent="0.2">
      <c r="B64" s="212" t="s">
        <v>3</v>
      </c>
      <c r="C64" s="15">
        <f t="shared" ref="C64:J64" si="216">C50+C62</f>
        <v>558424</v>
      </c>
      <c r="D64" s="15">
        <f t="shared" si="216"/>
        <v>559760</v>
      </c>
      <c r="E64" s="15">
        <f t="shared" si="216"/>
        <v>555184</v>
      </c>
      <c r="F64" s="15">
        <f t="shared" si="216"/>
        <v>573845</v>
      </c>
      <c r="G64" s="15">
        <f t="shared" si="216"/>
        <v>608129</v>
      </c>
      <c r="H64" s="15">
        <f>H50+H62</f>
        <v>679011</v>
      </c>
      <c r="I64" s="15">
        <f t="shared" si="216"/>
        <v>707569</v>
      </c>
      <c r="J64" s="15">
        <f t="shared" si="216"/>
        <v>712467</v>
      </c>
      <c r="K64" s="15">
        <f t="shared" ref="K64:P64" si="217">K50+K62</f>
        <v>743390</v>
      </c>
      <c r="L64" s="15">
        <f t="shared" si="217"/>
        <v>829630</v>
      </c>
      <c r="M64" s="15">
        <f t="shared" si="217"/>
        <v>1036008</v>
      </c>
      <c r="N64" s="15">
        <f t="shared" si="217"/>
        <v>1136364</v>
      </c>
      <c r="O64" s="15">
        <f t="shared" si="217"/>
        <v>1252015</v>
      </c>
      <c r="P64" s="15">
        <f t="shared" si="217"/>
        <v>1209682</v>
      </c>
      <c r="Q64" s="15">
        <f t="shared" ref="Q64:R64" si="218">Q50+Q62</f>
        <v>1234061</v>
      </c>
      <c r="R64" s="15">
        <f t="shared" si="218"/>
        <v>1371149</v>
      </c>
      <c r="S64" s="15">
        <f t="shared" ref="S64:T64" si="219">S50+S62</f>
        <v>1467427</v>
      </c>
      <c r="T64" s="15">
        <f t="shared" si="219"/>
        <v>1533715</v>
      </c>
      <c r="U64" s="15">
        <f t="shared" ref="U64:V64" si="220">U50+U62</f>
        <v>1614926</v>
      </c>
      <c r="V64" s="15">
        <f t="shared" si="220"/>
        <v>1809372</v>
      </c>
      <c r="W64" s="15">
        <f t="shared" ref="W64:X64" si="221">W50+W62</f>
        <v>1982754</v>
      </c>
      <c r="X64" s="15">
        <f t="shared" si="221"/>
        <v>2331884</v>
      </c>
      <c r="Y64" s="15">
        <f t="shared" ref="Y64:Z64" si="222">Y50+Y62</f>
        <v>2475693</v>
      </c>
      <c r="Z64" s="15">
        <f t="shared" si="222"/>
        <v>2592090</v>
      </c>
      <c r="AA64" s="15">
        <f t="shared" ref="AA64:AB64" si="223">AA50+AA62</f>
        <v>2782130</v>
      </c>
      <c r="AB64" s="15">
        <f t="shared" si="223"/>
        <v>2743732</v>
      </c>
      <c r="AC64" s="15">
        <f t="shared" ref="AC64" si="224">AC50+AC62</f>
        <v>2844991</v>
      </c>
    </row>
    <row r="66" spans="2:29" x14ac:dyDescent="0.2">
      <c r="B66" s="176" t="s">
        <v>338</v>
      </c>
      <c r="C66" s="179"/>
      <c r="D66" s="179"/>
      <c r="E66" s="195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</row>
    <row r="68" spans="2:29" s="196" customFormat="1" x14ac:dyDescent="0.2">
      <c r="B68" s="201" t="s">
        <v>339</v>
      </c>
      <c r="C68" s="15">
        <v>-10643</v>
      </c>
      <c r="D68" s="15">
        <v>-10892</v>
      </c>
      <c r="E68" s="15">
        <v>-11989</v>
      </c>
      <c r="F68" s="15">
        <v>-12924</v>
      </c>
      <c r="G68" s="15">
        <v>-14256</v>
      </c>
      <c r="H68" s="15">
        <v>-16477</v>
      </c>
      <c r="I68" s="15">
        <v>-19650</v>
      </c>
      <c r="J68" s="15">
        <f>Sovcombank!AE202</f>
        <v>-22103</v>
      </c>
      <c r="K68" s="15">
        <f>Sovcombank!AF202</f>
        <v>-22833</v>
      </c>
      <c r="L68" s="15">
        <f>Sovcombank!AG202</f>
        <v>-21767</v>
      </c>
      <c r="M68" s="15">
        <f>Sovcombank!AH202</f>
        <v>-25127</v>
      </c>
      <c r="N68" s="15">
        <f>Sovcombank!AI202</f>
        <v>-25941</v>
      </c>
      <c r="O68" s="15">
        <f>Sovcombank!AJ202</f>
        <v>-33170</v>
      </c>
      <c r="P68" s="15">
        <f>Sovcombank!AK202</f>
        <v>-35839</v>
      </c>
      <c r="Q68" s="15">
        <f>Sovcombank!AL202</f>
        <v>-38363</v>
      </c>
      <c r="R68" s="15">
        <f>Sovcombank!AM202</f>
        <v>-40747</v>
      </c>
      <c r="S68" s="15">
        <f>Sovcombank!AN202</f>
        <v>-42808</v>
      </c>
      <c r="T68" s="15">
        <f>Sovcombank!AO202</f>
        <v>-43445</v>
      </c>
      <c r="U68" s="15">
        <f>Sovcombank!AP202</f>
        <v>-43238</v>
      </c>
      <c r="V68" s="15">
        <f>Sovcombank!AQ202</f>
        <v>-42662</v>
      </c>
      <c r="W68" s="15">
        <f>Sovcombank!AR202</f>
        <v>-41957</v>
      </c>
      <c r="X68" s="15">
        <f>Sovcombank!AS202</f>
        <v>-49021</v>
      </c>
      <c r="Y68" s="15">
        <f>Sovcombank!AT202</f>
        <v>-60711</v>
      </c>
      <c r="Z68" s="15">
        <f>Sovcombank!AU202</f>
        <v>-72579</v>
      </c>
      <c r="AA68" s="15">
        <f>Sovcombank!AV202</f>
        <v>-73469</v>
      </c>
      <c r="AB68" s="15">
        <f>Sovcombank!AW202</f>
        <v>-78418</v>
      </c>
      <c r="AC68" s="15">
        <f>Sovcombank!AX202</f>
        <v>-88462</v>
      </c>
    </row>
    <row r="69" spans="2:29" s="196" customFormat="1" x14ac:dyDescent="0.2">
      <c r="B69" s="199" t="s">
        <v>362</v>
      </c>
      <c r="C69" s="131"/>
      <c r="D69" s="131"/>
      <c r="E69" s="208"/>
      <c r="F69" s="208"/>
      <c r="G69" s="208">
        <v>-5636</v>
      </c>
      <c r="H69" s="208">
        <v>-6198</v>
      </c>
      <c r="I69" s="208">
        <v>-7302</v>
      </c>
      <c r="J69" s="208">
        <v>-8042</v>
      </c>
      <c r="K69" s="208">
        <v>-8332</v>
      </c>
      <c r="L69" s="208">
        <v>-8206</v>
      </c>
      <c r="M69" s="208">
        <v>-8575</v>
      </c>
      <c r="N69" s="208">
        <v>-8718</v>
      </c>
      <c r="O69" s="208">
        <f>Sovcombank!AJ205</f>
        <v>-16660</v>
      </c>
      <c r="P69" s="208">
        <f>Sovcombank!AK205</f>
        <v>-17913</v>
      </c>
      <c r="Q69" s="208">
        <f>Sovcombank!AL205</f>
        <v>-18988</v>
      </c>
      <c r="R69" s="208">
        <f>Sovcombank!AM205</f>
        <v>-19971</v>
      </c>
      <c r="S69" s="208">
        <f>Sovcombank!AN205</f>
        <v>-20347</v>
      </c>
      <c r="T69" s="208">
        <f>Sovcombank!AO205</f>
        <v>-20609</v>
      </c>
      <c r="U69" s="208">
        <f>Sovcombank!AP205</f>
        <v>-21397</v>
      </c>
      <c r="V69" s="208">
        <f>Sovcombank!AQ205</f>
        <v>-20991</v>
      </c>
      <c r="W69" s="208">
        <f>Sovcombank!AR205</f>
        <v>-20775</v>
      </c>
      <c r="X69" s="208">
        <f>Sovcombank!AS205</f>
        <v>-25446</v>
      </c>
      <c r="Y69" s="208">
        <f>Sovcombank!AT205</f>
        <v>-33193</v>
      </c>
      <c r="Z69" s="208">
        <f>Sovcombank!AU205</f>
        <v>-40614</v>
      </c>
      <c r="AA69" s="208">
        <f>Sovcombank!AV205</f>
        <v>-40102</v>
      </c>
      <c r="AB69" s="208">
        <f>Sovcombank!AW205</f>
        <v>-42674</v>
      </c>
      <c r="AC69" s="208">
        <f>Sovcombank!AX205</f>
        <v>-47013</v>
      </c>
    </row>
    <row r="70" spans="2:29" s="196" customFormat="1" x14ac:dyDescent="0.2">
      <c r="B70" s="199" t="s">
        <v>363</v>
      </c>
      <c r="C70" s="131"/>
      <c r="D70" s="131"/>
      <c r="E70" s="208"/>
      <c r="F70" s="208"/>
      <c r="G70" s="208">
        <v>-2633</v>
      </c>
      <c r="H70" s="208">
        <v>-3878</v>
      </c>
      <c r="I70" s="208">
        <v>-4385</v>
      </c>
      <c r="J70" s="208">
        <v>-5506</v>
      </c>
      <c r="K70" s="208">
        <v>-6214</v>
      </c>
      <c r="L70" s="208">
        <v>-6065</v>
      </c>
      <c r="M70" s="208">
        <v>-10238</v>
      </c>
      <c r="N70" s="208">
        <v>-10787</v>
      </c>
      <c r="O70" s="208">
        <f>Sovcombank!AJ206</f>
        <v>-9536</v>
      </c>
      <c r="P70" s="208">
        <f>Sovcombank!AK206</f>
        <v>-10536</v>
      </c>
      <c r="Q70" s="208">
        <f>Sovcombank!AL206</f>
        <v>-10989</v>
      </c>
      <c r="R70" s="208">
        <f>Sovcombank!AM206</f>
        <v>-11781</v>
      </c>
      <c r="S70" s="208">
        <f>Sovcombank!AN206</f>
        <v>-12801</v>
      </c>
      <c r="T70" s="208">
        <f>Sovcombank!AO206</f>
        <v>-12272</v>
      </c>
      <c r="U70" s="208">
        <f>Sovcombank!AP206</f>
        <v>-10868</v>
      </c>
      <c r="V70" s="208">
        <f>Sovcombank!AQ206</f>
        <v>-10346</v>
      </c>
      <c r="W70" s="208">
        <f>Sovcombank!AR206</f>
        <v>-10975</v>
      </c>
      <c r="X70" s="208">
        <f>Sovcombank!AS206</f>
        <v>-12341</v>
      </c>
      <c r="Y70" s="208">
        <f>Sovcombank!AT206</f>
        <v>-14591</v>
      </c>
      <c r="Z70" s="208">
        <f>Sovcombank!AU206</f>
        <v>-15978</v>
      </c>
      <c r="AA70" s="208">
        <f>Sovcombank!AV206</f>
        <v>-16127</v>
      </c>
      <c r="AB70" s="208">
        <f>Sovcombank!AW206</f>
        <v>-16118</v>
      </c>
      <c r="AC70" s="208">
        <f>Sovcombank!AX206</f>
        <v>-16970</v>
      </c>
    </row>
    <row r="71" spans="2:29" s="196" customFormat="1" x14ac:dyDescent="0.2">
      <c r="B71" s="199" t="s">
        <v>243</v>
      </c>
      <c r="C71" s="131"/>
      <c r="D71" s="131"/>
      <c r="E71" s="208"/>
      <c r="F71" s="208"/>
      <c r="G71" s="208">
        <v>-3472</v>
      </c>
      <c r="H71" s="208">
        <v>-3547</v>
      </c>
      <c r="I71" s="208">
        <v>-4675</v>
      </c>
      <c r="J71" s="208">
        <v>-5081</v>
      </c>
      <c r="K71" s="208">
        <v>-4835</v>
      </c>
      <c r="L71" s="208">
        <v>-4163</v>
      </c>
      <c r="M71" s="208">
        <v>-3116</v>
      </c>
      <c r="N71" s="208">
        <v>-3233</v>
      </c>
      <c r="O71" s="208">
        <f>Sovcombank!AJ203</f>
        <v>-3193</v>
      </c>
      <c r="P71" s="208">
        <f>Sovcombank!AK203</f>
        <v>-3298</v>
      </c>
      <c r="Q71" s="208">
        <f>Sovcombank!AL203</f>
        <v>-3724</v>
      </c>
      <c r="R71" s="208">
        <f>Sovcombank!AM203</f>
        <v>-3915</v>
      </c>
      <c r="S71" s="208">
        <f>Sovcombank!AN203</f>
        <v>-4208</v>
      </c>
      <c r="T71" s="208">
        <f>Sovcombank!AO203</f>
        <v>-4526</v>
      </c>
      <c r="U71" s="208">
        <f>Sovcombank!AP203</f>
        <v>-4717</v>
      </c>
      <c r="V71" s="208">
        <f>Sovcombank!AQ203</f>
        <v>-4941</v>
      </c>
      <c r="W71" s="208">
        <f>Sovcombank!AR203</f>
        <v>-4500</v>
      </c>
      <c r="X71" s="208">
        <f>Sovcombank!AS203</f>
        <v>-4875</v>
      </c>
      <c r="Y71" s="208">
        <f>Sovcombank!AT203</f>
        <v>-5990</v>
      </c>
      <c r="Z71" s="208">
        <f>Sovcombank!AU203</f>
        <v>-8678</v>
      </c>
      <c r="AA71" s="208">
        <f>Sovcombank!AV203</f>
        <v>-9879</v>
      </c>
      <c r="AB71" s="208">
        <f>Sovcombank!AW203</f>
        <v>-12195</v>
      </c>
      <c r="AC71" s="208">
        <f>Sovcombank!AX203</f>
        <v>-16350</v>
      </c>
    </row>
    <row r="72" spans="2:29" s="196" customFormat="1" x14ac:dyDescent="0.2">
      <c r="B72" s="199" t="s">
        <v>329</v>
      </c>
      <c r="C72" s="131"/>
      <c r="D72" s="131"/>
      <c r="E72" s="208"/>
      <c r="F72" s="208"/>
      <c r="G72" s="208">
        <v>-2515</v>
      </c>
      <c r="H72" s="208">
        <v>-2854</v>
      </c>
      <c r="I72" s="208">
        <v>-3288</v>
      </c>
      <c r="J72" s="208">
        <v>-3474</v>
      </c>
      <c r="K72" s="208">
        <v>-3452</v>
      </c>
      <c r="L72" s="208">
        <v>-3333</v>
      </c>
      <c r="M72" s="208">
        <v>-3198</v>
      </c>
      <c r="N72" s="208">
        <v>-3203</v>
      </c>
      <c r="O72" s="208">
        <f>Sovcombank!AJ204</f>
        <v>-3781</v>
      </c>
      <c r="P72" s="208">
        <f>Sovcombank!AK204</f>
        <v>-4092</v>
      </c>
      <c r="Q72" s="208">
        <f>Sovcombank!AL204</f>
        <v>-4662</v>
      </c>
      <c r="R72" s="208">
        <f>Sovcombank!AM204</f>
        <v>-5080</v>
      </c>
      <c r="S72" s="208">
        <f>Sovcombank!AN204</f>
        <v>-5452</v>
      </c>
      <c r="T72" s="208">
        <f>Sovcombank!AO204</f>
        <v>-6038</v>
      </c>
      <c r="U72" s="208">
        <f>Sovcombank!AP204</f>
        <v>-6256</v>
      </c>
      <c r="V72" s="208">
        <f>Sovcombank!AQ204</f>
        <v>-6384</v>
      </c>
      <c r="W72" s="208">
        <f>Sovcombank!AR204</f>
        <v>-5707</v>
      </c>
      <c r="X72" s="208">
        <f>Sovcombank!AS204</f>
        <v>-6359</v>
      </c>
      <c r="Y72" s="208">
        <f>Sovcombank!AT204</f>
        <v>-6937</v>
      </c>
      <c r="Z72" s="208">
        <f>Sovcombank!AU204</f>
        <v>-7309</v>
      </c>
      <c r="AA72" s="208">
        <f>Sovcombank!AV204</f>
        <v>-7361</v>
      </c>
      <c r="AB72" s="208">
        <f>Sovcombank!AW204</f>
        <v>-7431</v>
      </c>
      <c r="AC72" s="208">
        <f>Sovcombank!AX204</f>
        <v>-8129</v>
      </c>
    </row>
    <row r="73" spans="2:29" s="196" customFormat="1" x14ac:dyDescent="0.2">
      <c r="B73" s="214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</row>
    <row r="74" spans="2:29" s="196" customFormat="1" x14ac:dyDescent="0.2">
      <c r="B74" s="201" t="s">
        <v>340</v>
      </c>
      <c r="C74" s="15">
        <f t="shared" ref="C74:N74" si="225">C75+C76</f>
        <v>-6303</v>
      </c>
      <c r="D74" s="15">
        <f t="shared" si="225"/>
        <v>-6252</v>
      </c>
      <c r="E74" s="15">
        <f t="shared" si="225"/>
        <v>-7289</v>
      </c>
      <c r="F74" s="15">
        <f t="shared" si="225"/>
        <v>-8009</v>
      </c>
      <c r="G74" s="15">
        <f t="shared" si="225"/>
        <v>-8653</v>
      </c>
      <c r="H74" s="15">
        <f t="shared" si="225"/>
        <v>-9400</v>
      </c>
      <c r="I74" s="15">
        <f t="shared" si="225"/>
        <v>-9899</v>
      </c>
      <c r="J74" s="15">
        <f t="shared" si="225"/>
        <v>-9255</v>
      </c>
      <c r="K74" s="15">
        <f t="shared" si="225"/>
        <v>-9445</v>
      </c>
      <c r="L74" s="15">
        <f t="shared" si="225"/>
        <v>-11147</v>
      </c>
      <c r="M74" s="15">
        <f t="shared" si="225"/>
        <v>-13166</v>
      </c>
      <c r="N74" s="15">
        <f t="shared" si="225"/>
        <v>-17222</v>
      </c>
      <c r="O74" s="15">
        <f t="shared" ref="O74:P74" si="226">O75+O76</f>
        <v>-21990</v>
      </c>
      <c r="P74" s="15">
        <f t="shared" si="226"/>
        <v>-34582</v>
      </c>
      <c r="Q74" s="15">
        <f t="shared" ref="Q74:R74" si="227">Q75+Q76</f>
        <v>-31667</v>
      </c>
      <c r="R74" s="15">
        <f t="shared" si="227"/>
        <v>-36895</v>
      </c>
      <c r="S74" s="15">
        <f t="shared" ref="S74:T74" si="228">S75+S76</f>
        <v>-37695</v>
      </c>
      <c r="T74" s="15">
        <f t="shared" si="228"/>
        <v>-42699</v>
      </c>
      <c r="U74" s="15">
        <f t="shared" ref="U74:V74" si="229">U75+U76</f>
        <v>-44756</v>
      </c>
      <c r="V74" s="15">
        <f t="shared" si="229"/>
        <v>-44502</v>
      </c>
      <c r="W74" s="15">
        <f t="shared" ref="W74:X74" si="230">W75+W76</f>
        <v>-46260</v>
      </c>
      <c r="X74" s="15">
        <f t="shared" si="230"/>
        <v>-47263</v>
      </c>
      <c r="Y74" s="15">
        <f t="shared" ref="Y74:Z74" si="231">Y75+Y76</f>
        <v>-46279</v>
      </c>
      <c r="Z74" s="15">
        <f t="shared" si="231"/>
        <v>-44762</v>
      </c>
      <c r="AA74" s="15">
        <f t="shared" ref="AA74:AB74" si="232">AA75+AA76</f>
        <v>-44670</v>
      </c>
      <c r="AB74" s="15">
        <f t="shared" si="232"/>
        <v>-45259</v>
      </c>
      <c r="AC74" s="15">
        <f t="shared" ref="AC74" si="233">AC75+AC76</f>
        <v>-48340</v>
      </c>
    </row>
    <row r="75" spans="2:29" s="196" customFormat="1" x14ac:dyDescent="0.2">
      <c r="B75" s="197" t="s">
        <v>34</v>
      </c>
      <c r="C75" s="148">
        <v>-5390.6849999999995</v>
      </c>
      <c r="D75" s="148">
        <v>-5515.0966322599998</v>
      </c>
      <c r="E75" s="148">
        <v>-6963.7920000000004</v>
      </c>
      <c r="F75" s="148">
        <v>-7541.1660000000002</v>
      </c>
      <c r="G75" s="148">
        <v>-8228</v>
      </c>
      <c r="H75" s="148">
        <v>-9037</v>
      </c>
      <c r="I75" s="148">
        <v>-9572</v>
      </c>
      <c r="J75" s="148">
        <f>Sovcombank!AE208</f>
        <v>-8879</v>
      </c>
      <c r="K75" s="148">
        <f>Sovcombank!AF208</f>
        <v>-9235</v>
      </c>
      <c r="L75" s="148">
        <f>Sovcombank!AG208</f>
        <v>-10975</v>
      </c>
      <c r="M75" s="148">
        <f>Sovcombank!AH208</f>
        <v>-13023</v>
      </c>
      <c r="N75" s="148">
        <f>Sovcombank!AI208</f>
        <v>-17080</v>
      </c>
      <c r="O75" s="148">
        <f>Sovcombank!AJ208</f>
        <v>-21868</v>
      </c>
      <c r="P75" s="148">
        <f>Sovcombank!AK208</f>
        <v>-34468</v>
      </c>
      <c r="Q75" s="148">
        <f>Sovcombank!AL208</f>
        <v>-31603</v>
      </c>
      <c r="R75" s="148">
        <f>Sovcombank!AM208</f>
        <v>-36839</v>
      </c>
      <c r="S75" s="148">
        <f>Sovcombank!AN208</f>
        <v>-37674</v>
      </c>
      <c r="T75" s="148">
        <f>Sovcombank!AO208</f>
        <v>-42680</v>
      </c>
      <c r="U75" s="148">
        <f>Sovcombank!AP208</f>
        <v>-44737</v>
      </c>
      <c r="V75" s="148">
        <f>Sovcombank!AQ208</f>
        <v>-44467</v>
      </c>
      <c r="W75" s="148">
        <f>Sovcombank!AR208</f>
        <v>-46254</v>
      </c>
      <c r="X75" s="148">
        <f>Sovcombank!AS208</f>
        <v>-47257</v>
      </c>
      <c r="Y75" s="148">
        <f>Sovcombank!AT208</f>
        <v>-46273</v>
      </c>
      <c r="Z75" s="148">
        <f>Sovcombank!AU208</f>
        <v>-44756</v>
      </c>
      <c r="AA75" s="148">
        <f>Sovcombank!AV208</f>
        <v>-44661</v>
      </c>
      <c r="AB75" s="148">
        <f>Sovcombank!AW208</f>
        <v>-45250</v>
      </c>
      <c r="AC75" s="148">
        <f>Sovcombank!AX208</f>
        <v>-48331</v>
      </c>
    </row>
    <row r="76" spans="2:29" s="196" customFormat="1" x14ac:dyDescent="0.2">
      <c r="B76" s="197" t="s">
        <v>259</v>
      </c>
      <c r="C76" s="148">
        <v>-912.31500000000005</v>
      </c>
      <c r="D76" s="148">
        <v>-736.90336773999991</v>
      </c>
      <c r="E76" s="148">
        <v>-325.20800000000003</v>
      </c>
      <c r="F76" s="148">
        <v>-467.834</v>
      </c>
      <c r="G76" s="148">
        <v>-425</v>
      </c>
      <c r="H76" s="148">
        <v>-363</v>
      </c>
      <c r="I76" s="148">
        <v>-327</v>
      </c>
      <c r="J76" s="148">
        <f>Sovcombank!AE209</f>
        <v>-376</v>
      </c>
      <c r="K76" s="148">
        <f>Sovcombank!AF209</f>
        <v>-210</v>
      </c>
      <c r="L76" s="148">
        <f>Sovcombank!AG209</f>
        <v>-172</v>
      </c>
      <c r="M76" s="148">
        <f>Sovcombank!AH209</f>
        <v>-143</v>
      </c>
      <c r="N76" s="148">
        <f>Sovcombank!AI209</f>
        <v>-142</v>
      </c>
      <c r="O76" s="148">
        <f>Sovcombank!AJ209</f>
        <v>-122</v>
      </c>
      <c r="P76" s="148">
        <f>Sovcombank!AK209</f>
        <v>-114</v>
      </c>
      <c r="Q76" s="148">
        <f>Sovcombank!AL209</f>
        <v>-64</v>
      </c>
      <c r="R76" s="148">
        <f>Sovcombank!AM209</f>
        <v>-56</v>
      </c>
      <c r="S76" s="148">
        <f>Sovcombank!AN209</f>
        <v>-21</v>
      </c>
      <c r="T76" s="148">
        <f>Sovcombank!AO209</f>
        <v>-19</v>
      </c>
      <c r="U76" s="148">
        <f>Sovcombank!AP209</f>
        <v>-19</v>
      </c>
      <c r="V76" s="148">
        <f>Sovcombank!AQ209</f>
        <v>-35</v>
      </c>
      <c r="W76" s="148">
        <f>Sovcombank!AR209</f>
        <v>-6</v>
      </c>
      <c r="X76" s="148">
        <f>Sovcombank!AS209</f>
        <v>-6</v>
      </c>
      <c r="Y76" s="148">
        <f>Sovcombank!AT209</f>
        <v>-6</v>
      </c>
      <c r="Z76" s="148">
        <f>Sovcombank!AU209</f>
        <v>-6</v>
      </c>
      <c r="AA76" s="148">
        <f>Sovcombank!AV209</f>
        <v>-9</v>
      </c>
      <c r="AB76" s="148">
        <f>Sovcombank!AW209</f>
        <v>-9</v>
      </c>
      <c r="AC76" s="148">
        <f>Sovcombank!AX209</f>
        <v>-9</v>
      </c>
    </row>
    <row r="77" spans="2:29" s="196" customFormat="1" x14ac:dyDescent="0.2">
      <c r="B77" s="204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</row>
    <row r="78" spans="2:29" s="196" customFormat="1" x14ac:dyDescent="0.2">
      <c r="B78" s="201" t="s">
        <v>341</v>
      </c>
      <c r="C78" s="15">
        <v>-16946</v>
      </c>
      <c r="D78" s="15">
        <f>D68+D74</f>
        <v>-17144</v>
      </c>
      <c r="E78" s="15">
        <f t="shared" ref="E78:J78" si="234">E68+E74</f>
        <v>-19278</v>
      </c>
      <c r="F78" s="15">
        <f t="shared" si="234"/>
        <v>-20933</v>
      </c>
      <c r="G78" s="15">
        <f t="shared" si="234"/>
        <v>-22909</v>
      </c>
      <c r="H78" s="15">
        <f t="shared" si="234"/>
        <v>-25877</v>
      </c>
      <c r="I78" s="15">
        <f t="shared" si="234"/>
        <v>-29549</v>
      </c>
      <c r="J78" s="15">
        <f t="shared" si="234"/>
        <v>-31358</v>
      </c>
      <c r="K78" s="15">
        <f>K68+K74</f>
        <v>-32278</v>
      </c>
      <c r="L78" s="15">
        <f>L68+L74</f>
        <v>-32914</v>
      </c>
      <c r="M78" s="15">
        <f>Sovcombank!AH210</f>
        <v>-38293</v>
      </c>
      <c r="N78" s="15">
        <f>Sovcombank!AI210</f>
        <v>-43163</v>
      </c>
      <c r="O78" s="15">
        <f>Sovcombank!AJ210</f>
        <v>-55160</v>
      </c>
      <c r="P78" s="15">
        <f>Sovcombank!AK210</f>
        <v>-70421</v>
      </c>
      <c r="Q78" s="15">
        <f>Sovcombank!AL210</f>
        <v>-70030</v>
      </c>
      <c r="R78" s="15">
        <f>Sovcombank!AM210</f>
        <v>-77642</v>
      </c>
      <c r="S78" s="15">
        <f>Sovcombank!AN210</f>
        <v>-80503</v>
      </c>
      <c r="T78" s="15">
        <f>Sovcombank!AO210</f>
        <v>-86144</v>
      </c>
      <c r="U78" s="15">
        <f>Sovcombank!AP210</f>
        <v>-87994</v>
      </c>
      <c r="V78" s="15">
        <f>Sovcombank!AQ210</f>
        <v>-87164</v>
      </c>
      <c r="W78" s="15">
        <f>Sovcombank!AR210</f>
        <v>-88217</v>
      </c>
      <c r="X78" s="15">
        <f>Sovcombank!AS210</f>
        <v>-96284</v>
      </c>
      <c r="Y78" s="15">
        <f>Sovcombank!AT210</f>
        <v>-106990</v>
      </c>
      <c r="Z78" s="15">
        <f>Sovcombank!AU210</f>
        <v>-117341</v>
      </c>
      <c r="AA78" s="15">
        <f>Sovcombank!AV210</f>
        <v>-118139</v>
      </c>
      <c r="AB78" s="15">
        <f>Sovcombank!AW210</f>
        <v>-123677</v>
      </c>
      <c r="AC78" s="15">
        <f>Sovcombank!AX210</f>
        <v>-136802</v>
      </c>
    </row>
    <row r="79" spans="2:29" s="196" customFormat="1" x14ac:dyDescent="0.2">
      <c r="B79" s="197"/>
      <c r="C79" s="15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2:29" s="196" customFormat="1" x14ac:dyDescent="0.2">
      <c r="B80" s="204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</row>
    <row r="81" spans="2:29" s="196" customFormat="1" x14ac:dyDescent="0.2">
      <c r="B81" s="204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</row>
    <row r="82" spans="2:29" s="196" customFormat="1" x14ac:dyDescent="0.2">
      <c r="B82" s="211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</row>
    <row r="83" spans="2:29" s="196" customFormat="1" x14ac:dyDescent="0.2">
      <c r="B83" s="201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W27"/>
  <sheetViews>
    <sheetView zoomScale="90" zoomScaleNormal="90" workbookViewId="0">
      <pane xSplit="1" ySplit="2" topLeftCell="F3" activePane="bottomRight" state="frozen"/>
      <selection pane="topRight" activeCell="I1" sqref="I1"/>
      <selection pane="bottomLeft" activeCell="A3" sqref="A3"/>
      <selection pane="bottomRight" activeCell="V2" sqref="V2"/>
    </sheetView>
  </sheetViews>
  <sheetFormatPr defaultRowHeight="11.25" outlineLevelCol="1" x14ac:dyDescent="0.2"/>
  <cols>
    <col min="1" max="1" width="82.83203125" customWidth="1"/>
    <col min="2" max="10" width="12.33203125" bestFit="1" customWidth="1"/>
    <col min="11" max="13" width="12.33203125" customWidth="1" outlineLevel="1"/>
    <col min="14" max="14" width="12.33203125" bestFit="1" customWidth="1"/>
    <col min="15" max="17" width="12.33203125" customWidth="1" outlineLevel="1"/>
    <col min="18" max="20" width="12.33203125" customWidth="1"/>
    <col min="21" max="21" width="10.83203125" bestFit="1" customWidth="1"/>
    <col min="22" max="22" width="10.6640625" bestFit="1" customWidth="1"/>
  </cols>
  <sheetData>
    <row r="1" spans="1:23" x14ac:dyDescent="0.2"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303"/>
      <c r="P1" s="303"/>
      <c r="Q1" s="303"/>
      <c r="R1" s="303"/>
      <c r="S1" s="303"/>
      <c r="T1" s="303"/>
      <c r="V1" s="303"/>
    </row>
    <row r="2" spans="1:23" x14ac:dyDescent="0.2">
      <c r="B2" s="191" t="s">
        <v>1</v>
      </c>
      <c r="C2" s="191" t="s">
        <v>1</v>
      </c>
      <c r="D2" s="191" t="s">
        <v>1</v>
      </c>
      <c r="E2" s="191" t="s">
        <v>1</v>
      </c>
      <c r="F2" s="191" t="s">
        <v>1</v>
      </c>
      <c r="G2" s="191" t="s">
        <v>1</v>
      </c>
      <c r="H2" s="191" t="s">
        <v>1</v>
      </c>
      <c r="I2" s="191" t="s">
        <v>1</v>
      </c>
      <c r="J2" s="191" t="s">
        <v>1</v>
      </c>
      <c r="K2" s="343" t="s">
        <v>1</v>
      </c>
      <c r="L2" s="343" t="s">
        <v>1</v>
      </c>
      <c r="M2" s="343" t="s">
        <v>1</v>
      </c>
      <c r="N2" s="191" t="s">
        <v>1</v>
      </c>
      <c r="O2" s="343" t="s">
        <v>1</v>
      </c>
      <c r="P2" s="343" t="s">
        <v>1</v>
      </c>
      <c r="Q2" s="343" t="s">
        <v>1</v>
      </c>
      <c r="R2" s="191" t="s">
        <v>1</v>
      </c>
      <c r="S2" s="343" t="s">
        <v>1</v>
      </c>
      <c r="T2" s="343" t="s">
        <v>1</v>
      </c>
      <c r="V2" s="191" t="s">
        <v>502</v>
      </c>
    </row>
    <row r="3" spans="1:23" x14ac:dyDescent="0.2">
      <c r="A3" s="190"/>
      <c r="B3" s="216">
        <v>2014</v>
      </c>
      <c r="C3" s="216">
        <v>2015</v>
      </c>
      <c r="D3" s="216">
        <v>2016</v>
      </c>
      <c r="E3" s="216">
        <v>2017</v>
      </c>
      <c r="F3" s="216">
        <v>2018</v>
      </c>
      <c r="G3" s="216">
        <v>2019</v>
      </c>
      <c r="H3" s="216">
        <v>2020</v>
      </c>
      <c r="I3" s="216">
        <v>2021</v>
      </c>
      <c r="J3" s="216">
        <v>2022</v>
      </c>
      <c r="K3" s="344" t="s">
        <v>512</v>
      </c>
      <c r="L3" s="344" t="s">
        <v>440</v>
      </c>
      <c r="M3" s="344" t="s">
        <v>454</v>
      </c>
      <c r="N3" s="216">
        <v>2023</v>
      </c>
      <c r="O3" s="344" t="s">
        <v>465</v>
      </c>
      <c r="P3" s="344" t="s">
        <v>471</v>
      </c>
      <c r="Q3" s="344" t="s">
        <v>478</v>
      </c>
      <c r="R3" s="216">
        <v>2024</v>
      </c>
      <c r="S3" s="344" t="s">
        <v>491</v>
      </c>
      <c r="T3" s="344" t="s">
        <v>509</v>
      </c>
      <c r="V3" s="216" t="s">
        <v>492</v>
      </c>
    </row>
    <row r="4" spans="1:23" s="272" customFormat="1" x14ac:dyDescent="0.2">
      <c r="A4" s="268" t="s">
        <v>407</v>
      </c>
      <c r="B4" s="329">
        <f>Sovcombank!N143</f>
        <v>1045</v>
      </c>
      <c r="C4" s="329">
        <f>Sovcombank!P143</f>
        <v>19317</v>
      </c>
      <c r="D4" s="329">
        <f>Sovcombank!R143</f>
        <v>33607</v>
      </c>
      <c r="E4" s="329">
        <f>Sovcombank!T143</f>
        <v>29571</v>
      </c>
      <c r="F4" s="329">
        <f>Sovcombank!X143</f>
        <v>17549</v>
      </c>
      <c r="G4" s="329">
        <f>Sovcombank!AB143</f>
        <v>30143</v>
      </c>
      <c r="H4" s="329">
        <f>Sovcombank!AF143</f>
        <v>39201</v>
      </c>
      <c r="I4" s="329">
        <f>Sovcombank!AJ143</f>
        <v>49709</v>
      </c>
      <c r="J4" s="329">
        <f>Sovcombank!AN143</f>
        <v>-18583</v>
      </c>
      <c r="K4" s="345">
        <f>Sovcombank!AO143</f>
        <v>22579</v>
      </c>
      <c r="L4" s="345">
        <f>Sovcombank!AP143</f>
        <v>51649</v>
      </c>
      <c r="M4" s="345">
        <f>Sovcombank!AQ143</f>
        <v>76389</v>
      </c>
      <c r="N4" s="329">
        <f>Sovcombank!AR143</f>
        <v>95036</v>
      </c>
      <c r="O4" s="345">
        <f>Sovcombank!AS143</f>
        <v>25014</v>
      </c>
      <c r="P4" s="345">
        <f>Sovcombank!AT143</f>
        <v>38717</v>
      </c>
      <c r="Q4" s="345">
        <f>Sovcombank!AU143</f>
        <v>56520</v>
      </c>
      <c r="R4" s="329">
        <f>Sovcombank!AV143</f>
        <v>77234</v>
      </c>
      <c r="S4" s="345">
        <f>Sovcombank!AW143</f>
        <v>12536</v>
      </c>
      <c r="T4" s="345">
        <f>Sovcombank!AX143</f>
        <v>17543</v>
      </c>
      <c r="U4" s="330"/>
      <c r="V4" s="331">
        <f>(R4/B4)^(1/10)-1</f>
        <v>0.537691535564913</v>
      </c>
    </row>
    <row r="5" spans="1:23" s="272" customFormat="1" x14ac:dyDescent="0.2">
      <c r="A5" s="268" t="s">
        <v>500</v>
      </c>
      <c r="B5" s="329">
        <f>Sovcombank!N175</f>
        <v>2701.2</v>
      </c>
      <c r="C5" s="329">
        <f>Sovcombank!P175</f>
        <v>5548.1999999999989</v>
      </c>
      <c r="D5" s="329">
        <f>Sovcombank!R175</f>
        <v>15474.400000000001</v>
      </c>
      <c r="E5" s="329">
        <f>Sovcombank!T175</f>
        <v>16174.199999999999</v>
      </c>
      <c r="F5" s="329">
        <f>Sovcombank!X175</f>
        <v>18841.879836295859</v>
      </c>
      <c r="G5" s="329">
        <f>Sovcombank!AB175</f>
        <v>23479.271716154894</v>
      </c>
      <c r="H5" s="329">
        <f>Sovcombank!AF175</f>
        <v>31919.368054673294</v>
      </c>
      <c r="I5" s="329">
        <f>Sovcombank!AJ175</f>
        <v>53996.820252741782</v>
      </c>
      <c r="J5" s="329">
        <f>Sovcombank!AN175</f>
        <v>27808.200000000004</v>
      </c>
      <c r="K5" s="345">
        <f>Sovcombank!AO175</f>
        <v>9567</v>
      </c>
      <c r="L5" s="345">
        <f>Sovcombank!AP175</f>
        <v>25628.199999999997</v>
      </c>
      <c r="M5" s="345">
        <f>Sovcombank!AQ175</f>
        <v>45798.6</v>
      </c>
      <c r="N5" s="329">
        <f>Sovcombank!AR175</f>
        <v>63916.800000000003</v>
      </c>
      <c r="O5" s="345">
        <f>Sovcombank!AS175</f>
        <v>12054.8</v>
      </c>
      <c r="P5" s="345">
        <f>Sovcombank!AT175</f>
        <v>31280.2</v>
      </c>
      <c r="Q5" s="345">
        <f>Sovcombank!AU175</f>
        <v>55425.600000000006</v>
      </c>
      <c r="R5" s="329">
        <f>Sovcombank!AV175</f>
        <v>76055.199999999997</v>
      </c>
      <c r="S5" s="345">
        <f>Sovcombank!AW175</f>
        <v>13332.5</v>
      </c>
      <c r="T5" s="345">
        <f>Sovcombank!AX175</f>
        <v>17113.25</v>
      </c>
      <c r="U5" s="330"/>
      <c r="V5" s="331">
        <f>(R5/B5)^(1/10)-1</f>
        <v>0.39623081003066485</v>
      </c>
    </row>
    <row r="6" spans="1:23" s="272" customFormat="1" x14ac:dyDescent="0.2">
      <c r="A6" s="268" t="s">
        <v>387</v>
      </c>
      <c r="B6" s="329">
        <v>355</v>
      </c>
      <c r="C6" s="329">
        <v>3656</v>
      </c>
      <c r="D6" s="329">
        <v>4499</v>
      </c>
      <c r="E6" s="329">
        <v>3053</v>
      </c>
      <c r="F6" s="329">
        <v>7320</v>
      </c>
      <c r="G6" s="329">
        <v>10250</v>
      </c>
      <c r="H6" s="329">
        <v>0</v>
      </c>
      <c r="I6" s="329">
        <v>6800</v>
      </c>
      <c r="J6" s="329">
        <v>0</v>
      </c>
      <c r="K6" s="345">
        <v>0</v>
      </c>
      <c r="L6" s="345">
        <v>0</v>
      </c>
      <c r="M6" s="345">
        <v>0</v>
      </c>
      <c r="N6" s="329">
        <v>5000</v>
      </c>
      <c r="O6" s="345">
        <v>0</v>
      </c>
      <c r="P6" s="345">
        <v>23506</v>
      </c>
      <c r="Q6" s="345">
        <v>23506</v>
      </c>
      <c r="R6" s="329">
        <v>23506</v>
      </c>
      <c r="S6" s="345">
        <v>0</v>
      </c>
      <c r="T6" s="345">
        <v>7856</v>
      </c>
      <c r="U6" s="330"/>
    </row>
    <row r="7" spans="1:23" s="272" customFormat="1" x14ac:dyDescent="0.2">
      <c r="A7" s="332" t="s">
        <v>249</v>
      </c>
      <c r="B7" s="329">
        <f>Sovcombank!N58</f>
        <v>11602</v>
      </c>
      <c r="C7" s="329">
        <f>Sovcombank!P58</f>
        <v>27321</v>
      </c>
      <c r="D7" s="329">
        <f>Sovcombank!R58</f>
        <v>63916</v>
      </c>
      <c r="E7" s="329">
        <f>Sovcombank!T58</f>
        <v>85418</v>
      </c>
      <c r="F7" s="329">
        <f>Sovcombank!X58</f>
        <v>114036</v>
      </c>
      <c r="G7" s="329">
        <f>Sovcombank!AB58</f>
        <v>139084</v>
      </c>
      <c r="H7" s="329">
        <f>Sovcombank!AF58</f>
        <v>188289</v>
      </c>
      <c r="I7" s="329">
        <f>Sovcombank!AJ58</f>
        <v>242952</v>
      </c>
      <c r="J7" s="329">
        <f>Sovcombank!AN58</f>
        <v>192115</v>
      </c>
      <c r="K7" s="345">
        <f>Sovcombank!AO58</f>
        <v>214436</v>
      </c>
      <c r="L7" s="345">
        <f>Sovcombank!AP58</f>
        <v>247210</v>
      </c>
      <c r="M7" s="345">
        <f>Sovcombank!AQ58</f>
        <v>269231</v>
      </c>
      <c r="N7" s="329">
        <f>Sovcombank!AR58</f>
        <v>298357</v>
      </c>
      <c r="O7" s="345">
        <f>Sovcombank!AS58</f>
        <v>352744</v>
      </c>
      <c r="P7" s="345">
        <f>Sovcombank!AT58</f>
        <v>352892</v>
      </c>
      <c r="Q7" s="345">
        <f>Sovcombank!AU58</f>
        <v>368326</v>
      </c>
      <c r="R7" s="329">
        <f>Sovcombank!AV58</f>
        <v>389991</v>
      </c>
      <c r="S7" s="345">
        <f>Sovcombank!AW58</f>
        <v>381255</v>
      </c>
      <c r="T7" s="345">
        <f>Sovcombank!AX58</f>
        <v>380671</v>
      </c>
      <c r="U7" s="333"/>
      <c r="V7" s="331">
        <f>(R7/B7)^(1/10)-1</f>
        <v>0.42119009615262026</v>
      </c>
    </row>
    <row r="8" spans="1:23" s="272" customFormat="1" x14ac:dyDescent="0.2">
      <c r="A8" s="332" t="s">
        <v>499</v>
      </c>
      <c r="B8" s="329">
        <f>Sovcombank!N59</f>
        <v>11602</v>
      </c>
      <c r="C8" s="329">
        <f>Sovcombank!P59</f>
        <v>27321</v>
      </c>
      <c r="D8" s="329">
        <f>Sovcombank!R59</f>
        <v>58146</v>
      </c>
      <c r="E8" s="329">
        <f>Sovcombank!T59</f>
        <v>85418</v>
      </c>
      <c r="F8" s="329">
        <f>Sovcombank!X59</f>
        <v>107061</v>
      </c>
      <c r="G8" s="329">
        <f>Sovcombank!AB59</f>
        <v>132893</v>
      </c>
      <c r="H8" s="329">
        <f>Sovcombank!AF59</f>
        <v>162073</v>
      </c>
      <c r="I8" s="329">
        <f>Sovcombank!AJ59</f>
        <v>202238</v>
      </c>
      <c r="J8" s="329">
        <f>Sovcombank!AN59</f>
        <v>164639</v>
      </c>
      <c r="K8" s="345">
        <f>Sovcombank!AO59</f>
        <v>184169</v>
      </c>
      <c r="L8" s="345">
        <f>Sovcombank!AP59</f>
        <v>212858</v>
      </c>
      <c r="M8" s="345">
        <f>Sovcombank!AQ59</f>
        <v>230692</v>
      </c>
      <c r="N8" s="329">
        <f>Sovcombank!AR59</f>
        <v>262649</v>
      </c>
      <c r="O8" s="345">
        <f>Sovcombank!AS59</f>
        <v>299314</v>
      </c>
      <c r="P8" s="345">
        <f>Sovcombank!AT59</f>
        <v>302948</v>
      </c>
      <c r="Q8" s="345">
        <f>Sovcombank!AU59</f>
        <v>313190</v>
      </c>
      <c r="R8" s="329">
        <f>Sovcombank!AV59</f>
        <v>329467</v>
      </c>
      <c r="S8" s="345">
        <f>Sovcombank!AW59</f>
        <v>352065</v>
      </c>
      <c r="T8" s="345">
        <f>Sovcombank!AX59</f>
        <v>353913</v>
      </c>
      <c r="U8" s="333"/>
      <c r="V8" s="331">
        <f>(R8/B8)^(1/10)-1</f>
        <v>0.39742306131144223</v>
      </c>
    </row>
    <row r="9" spans="1:23" s="272" customFormat="1" x14ac:dyDescent="0.2">
      <c r="A9" s="332" t="s">
        <v>501</v>
      </c>
      <c r="B9" s="329">
        <v>116</v>
      </c>
      <c r="C9" s="329">
        <v>1535</v>
      </c>
      <c r="D9" s="329">
        <v>3057</v>
      </c>
      <c r="E9" s="329">
        <v>3275</v>
      </c>
      <c r="F9" s="329">
        <v>5723</v>
      </c>
      <c r="G9" s="329">
        <v>4775</v>
      </c>
      <c r="H9" s="329">
        <v>3925</v>
      </c>
      <c r="I9" s="329">
        <v>7344</v>
      </c>
      <c r="J9" s="329">
        <v>6450</v>
      </c>
      <c r="K9" s="345">
        <v>7404.4279999999999</v>
      </c>
      <c r="L9" s="345">
        <v>7340.8760000000002</v>
      </c>
      <c r="M9" s="345">
        <v>7152.5659999999998</v>
      </c>
      <c r="N9" s="329">
        <v>6929</v>
      </c>
      <c r="O9" s="345">
        <v>12431.523999999999</v>
      </c>
      <c r="P9" s="345">
        <v>11741.269</v>
      </c>
      <c r="Q9" s="345">
        <v>11231.531999999999</v>
      </c>
      <c r="R9" s="329">
        <v>12558</v>
      </c>
      <c r="S9" s="345">
        <v>15968.608</v>
      </c>
      <c r="T9" s="345">
        <v>17210.235000000001</v>
      </c>
      <c r="U9" s="333"/>
    </row>
    <row r="10" spans="1:23" s="272" customFormat="1" x14ac:dyDescent="0.2">
      <c r="A10" s="332" t="s">
        <v>462</v>
      </c>
      <c r="B10" s="329">
        <v>19060.040773000001</v>
      </c>
      <c r="C10" s="329">
        <v>19060.040773000001</v>
      </c>
      <c r="D10" s="329">
        <v>17155.9427</v>
      </c>
      <c r="E10" s="329">
        <v>17155.9427</v>
      </c>
      <c r="F10" s="329">
        <v>18714.967550000001</v>
      </c>
      <c r="G10" s="329">
        <v>19693.945875000001</v>
      </c>
      <c r="H10" s="329">
        <v>19693.945875000001</v>
      </c>
      <c r="I10" s="329">
        <v>19693.945875000001</v>
      </c>
      <c r="J10" s="329">
        <v>19693.945875000001</v>
      </c>
      <c r="K10" s="345">
        <v>19693.945875000001</v>
      </c>
      <c r="L10" s="345">
        <v>19693.945875000001</v>
      </c>
      <c r="M10" s="345">
        <v>19693.945875000001</v>
      </c>
      <c r="N10" s="329">
        <v>20693.945875000001</v>
      </c>
      <c r="O10" s="345">
        <v>20693.945875000001</v>
      </c>
      <c r="P10" s="345">
        <v>20693.945875000001</v>
      </c>
      <c r="Q10" s="345">
        <v>20693.945875000001</v>
      </c>
      <c r="R10" s="329">
        <v>20693.945875000001</v>
      </c>
      <c r="S10" s="345">
        <v>20693.945875000001</v>
      </c>
      <c r="T10" s="345">
        <v>22516.228905</v>
      </c>
      <c r="U10" s="333"/>
    </row>
    <row r="11" spans="1:23" s="338" customFormat="1" x14ac:dyDescent="0.2">
      <c r="A11" s="334"/>
      <c r="B11" s="335"/>
      <c r="C11" s="335"/>
      <c r="D11" s="335"/>
      <c r="E11" s="335"/>
      <c r="F11" s="335"/>
      <c r="G11" s="335"/>
      <c r="H11" s="335"/>
      <c r="I11" s="335"/>
      <c r="J11" s="335"/>
      <c r="N11" s="335"/>
      <c r="R11" s="335"/>
      <c r="U11" s="336"/>
      <c r="V11" s="337"/>
    </row>
    <row r="12" spans="1:23" s="272" customFormat="1" x14ac:dyDescent="0.2">
      <c r="A12" s="268" t="s">
        <v>494</v>
      </c>
      <c r="B12" s="339">
        <f>B4/B10</f>
        <v>5.4826745254413209E-2</v>
      </c>
      <c r="C12" s="339">
        <f t="shared" ref="C12:S12" si="0">C4/(AVERAGE(B10:C10))</f>
        <v>1.0134815675401914</v>
      </c>
      <c r="D12" s="339">
        <f t="shared" si="0"/>
        <v>1.8559208822841955</v>
      </c>
      <c r="E12" s="339">
        <f t="shared" si="0"/>
        <v>1.7236592892094469</v>
      </c>
      <c r="F12" s="339">
        <f t="shared" si="0"/>
        <v>0.97845300705743865</v>
      </c>
      <c r="G12" s="339">
        <f t="shared" si="0"/>
        <v>1.5695835842302273</v>
      </c>
      <c r="H12" s="339">
        <f t="shared" si="0"/>
        <v>1.9905101927675526</v>
      </c>
      <c r="I12" s="339">
        <f t="shared" si="0"/>
        <v>2.5240751810485005</v>
      </c>
      <c r="J12" s="339">
        <f t="shared" si="0"/>
        <v>-0.94358947251854364</v>
      </c>
      <c r="K12" s="346">
        <f t="shared" ref="K12" si="1">K4/(AVERAGE(J10:K10))</f>
        <v>1.1464944680620028</v>
      </c>
      <c r="L12" s="346">
        <f>L4/(AVERAGE(J10:L10))</f>
        <v>2.6225826113173469</v>
      </c>
      <c r="M12" s="346">
        <f>M4/(AVERAGE(J10:M10))</f>
        <v>3.878806232374699</v>
      </c>
      <c r="N12" s="339">
        <f>N4/(AVERAGE(J10:N10))</f>
        <v>4.7771317262619224</v>
      </c>
      <c r="O12" s="346">
        <f>O4/(AVERAGE(N10:O10))</f>
        <v>1.2087593227069846</v>
      </c>
      <c r="P12" s="346">
        <f>P4/(AVERAGE(N10:P10))</f>
        <v>1.870933665037432</v>
      </c>
      <c r="Q12" s="346">
        <f>Q4/(AVERAGE(N10:Q10))</f>
        <v>2.731233585967809</v>
      </c>
      <c r="R12" s="339">
        <f>R4/(AVERAGE(N10:R10))</f>
        <v>3.7322026677041356</v>
      </c>
      <c r="S12" s="346">
        <f t="shared" si="0"/>
        <v>0.60578103739724787</v>
      </c>
      <c r="T12" s="346">
        <f>T4/(AVERAGE(R10:T10))</f>
        <v>0.82356191526566591</v>
      </c>
      <c r="U12" s="330"/>
      <c r="V12" s="331">
        <f>(R12/B12)^(1/10)-1</f>
        <v>0.52509632788337068</v>
      </c>
      <c r="W12" s="330"/>
    </row>
    <row r="13" spans="1:23" s="272" customFormat="1" x14ac:dyDescent="0.2">
      <c r="A13" s="268" t="s">
        <v>495</v>
      </c>
      <c r="B13" s="339">
        <f>B8/B10</f>
        <v>0.60870803678631769</v>
      </c>
      <c r="C13" s="339">
        <f>C8/AVERAGE(B10:C10)</f>
        <v>1.4334177101395438</v>
      </c>
      <c r="D13" s="339">
        <f>D8/AVERAGE(C10:D10)</f>
        <v>3.2110683970987242</v>
      </c>
      <c r="E13" s="339">
        <f t="shared" ref="E13:J13" si="2">E8/AVERAGE(D10:E10)</f>
        <v>4.9789161396534629</v>
      </c>
      <c r="F13" s="339">
        <f t="shared" si="2"/>
        <v>5.9692379844194221</v>
      </c>
      <c r="G13" s="339">
        <f t="shared" si="2"/>
        <v>6.9199041654482825</v>
      </c>
      <c r="H13" s="339">
        <f t="shared" si="2"/>
        <v>8.2295849205993612</v>
      </c>
      <c r="I13" s="339">
        <f t="shared" si="2"/>
        <v>10.269044166345866</v>
      </c>
      <c r="J13" s="339">
        <f t="shared" si="2"/>
        <v>8.3598787690889793</v>
      </c>
      <c r="K13" s="346">
        <f t="shared" ref="K13" si="3">K8/AVERAGE(J10:K10)</f>
        <v>9.3515540851459757</v>
      </c>
      <c r="L13" s="346">
        <f>L8/AVERAGE(J10:L10)</f>
        <v>10.808296181528933</v>
      </c>
      <c r="M13" s="346">
        <f>M8/AVERAGE(J10:M10)</f>
        <v>11.713853661639556</v>
      </c>
      <c r="N13" s="339">
        <f>N8/AVERAGE(J10:N10)</f>
        <v>13.202458760585122</v>
      </c>
      <c r="O13" s="346">
        <f>O8/AVERAGE(N10:O10)</f>
        <v>14.463843764160806</v>
      </c>
      <c r="P13" s="346">
        <f>P8/AVERAGE(N10:P10)</f>
        <v>14.639450679436939</v>
      </c>
      <c r="Q13" s="346">
        <f>Q8/AVERAGE(N10:Q10)</f>
        <v>15.134378039441934</v>
      </c>
      <c r="R13" s="339">
        <f>R8/AVERAGE(N10:R10)</f>
        <v>15.920936586483654</v>
      </c>
      <c r="S13" s="346">
        <f>S8/AVERAGE(R10:S10)</f>
        <v>17.012946787752242</v>
      </c>
      <c r="T13" s="346">
        <f>T8/AVERAGE(R10:T10)</f>
        <v>16.614562396250221</v>
      </c>
      <c r="U13" s="330"/>
      <c r="V13" s="331">
        <f>(R13/B13)^(1/10)-1</f>
        <v>0.38597679054184453</v>
      </c>
      <c r="W13" s="330"/>
    </row>
    <row r="14" spans="1:23" s="272" customFormat="1" x14ac:dyDescent="0.2">
      <c r="A14" s="268" t="s">
        <v>496</v>
      </c>
      <c r="B14" s="339">
        <f>(B8-B9)/B10</f>
        <v>0.60262200573415314</v>
      </c>
      <c r="C14" s="339">
        <f t="shared" ref="C14:S14" si="4">(C8-C9)/AVERAGE(B10:C10)</f>
        <v>1.3528827302682287</v>
      </c>
      <c r="D14" s="339">
        <f t="shared" si="4"/>
        <v>3.04224790919017</v>
      </c>
      <c r="E14" s="339">
        <f t="shared" si="4"/>
        <v>4.7880201884796456</v>
      </c>
      <c r="F14" s="339">
        <f t="shared" si="4"/>
        <v>5.650149343505996</v>
      </c>
      <c r="G14" s="339">
        <f t="shared" si="4"/>
        <v>6.6712639632554236</v>
      </c>
      <c r="H14" s="339">
        <f t="shared" si="4"/>
        <v>8.0302850938956389</v>
      </c>
      <c r="I14" s="339">
        <f t="shared" si="4"/>
        <v>9.8961376880497784</v>
      </c>
      <c r="J14" s="339">
        <f t="shared" si="4"/>
        <v>8.0323669519580214</v>
      </c>
      <c r="K14" s="346">
        <f t="shared" ref="K14" si="5">(K8-K9)/AVERAGE(J10:K10)</f>
        <v>8.9755792527280907</v>
      </c>
      <c r="L14" s="346">
        <f>(L8-L9)/AVERAGE(J10:L10)</f>
        <v>10.435548330661796</v>
      </c>
      <c r="M14" s="346">
        <f>(M8-M9)/AVERAGE(J10:M10)</f>
        <v>11.350667632521866</v>
      </c>
      <c r="N14" s="339">
        <f>(N8-N9)/AVERAGE(J10:N10)</f>
        <v>12.854161844350548</v>
      </c>
      <c r="O14" s="346">
        <f>(O8-O9)/AVERAGE(N10:O10)</f>
        <v>13.86311135309278</v>
      </c>
      <c r="P14" s="346">
        <f>(P8-P9)/AVERAGE(N10:P10)</f>
        <v>14.072073675992447</v>
      </c>
      <c r="Q14" s="346">
        <f>(Q8-Q9)/AVERAGE(N10:Q10)</f>
        <v>14.591633216011781</v>
      </c>
      <c r="R14" s="339">
        <f>(R8-R9)/AVERAGE(N10:R10)</f>
        <v>15.314092436225625</v>
      </c>
      <c r="S14" s="346">
        <f t="shared" si="4"/>
        <v>16.241290763499688</v>
      </c>
      <c r="T14" s="346">
        <f>(T8-T9)/AVERAGE(R10:T10)</f>
        <v>15.806622243552724</v>
      </c>
      <c r="U14" s="330"/>
      <c r="V14" s="331">
        <f>(R14/B14)^(1/10)-1</f>
        <v>0.38198913202953211</v>
      </c>
      <c r="W14" s="330"/>
    </row>
    <row r="15" spans="1:23" s="272" customFormat="1" x14ac:dyDescent="0.2">
      <c r="A15" s="268" t="s">
        <v>497</v>
      </c>
      <c r="B15" s="339">
        <f>B6/B10</f>
        <v>1.8625353651020755E-2</v>
      </c>
      <c r="C15" s="339">
        <f t="shared" ref="C15:S15" si="6">C6/AVERAGE(B10:C10)</f>
        <v>0.19181490971304754</v>
      </c>
      <c r="D15" s="339">
        <f t="shared" si="6"/>
        <v>0.24845383549250438</v>
      </c>
      <c r="E15" s="339">
        <f t="shared" si="6"/>
        <v>0.17795582868203447</v>
      </c>
      <c r="F15" s="339">
        <f t="shared" si="6"/>
        <v>0.40813015053054025</v>
      </c>
      <c r="G15" s="339">
        <f t="shared" si="6"/>
        <v>0.53373027695849218</v>
      </c>
      <c r="H15" s="339">
        <f t="shared" si="6"/>
        <v>0</v>
      </c>
      <c r="I15" s="339">
        <f t="shared" si="6"/>
        <v>0.34528377620008055</v>
      </c>
      <c r="J15" s="339">
        <f t="shared" si="6"/>
        <v>0</v>
      </c>
      <c r="K15" s="346">
        <f t="shared" ref="K15" si="7">K6/AVERAGE(J10:K10)</f>
        <v>0</v>
      </c>
      <c r="L15" s="346">
        <f>L6/AVERAGE(J10:L10)</f>
        <v>0</v>
      </c>
      <c r="M15" s="346">
        <f>M6/AVERAGE(J10:M10)</f>
        <v>0</v>
      </c>
      <c r="N15" s="339">
        <f>N6/AVERAGE(J10:N10)</f>
        <v>0.25133274371090547</v>
      </c>
      <c r="O15" s="346">
        <f>O6/AVERAGE(N10:O10)</f>
        <v>0</v>
      </c>
      <c r="P15" s="346">
        <f>P6/AVERAGE(N10:P10)</f>
        <v>1.1358877684316935</v>
      </c>
      <c r="Q15" s="346">
        <f>Q6/AVERAGE(N10:Q10)</f>
        <v>1.1358877684316935</v>
      </c>
      <c r="R15" s="339">
        <f>R6/AVERAGE(N10:R10)</f>
        <v>1.1358877684316935</v>
      </c>
      <c r="S15" s="346">
        <f t="shared" si="6"/>
        <v>0</v>
      </c>
      <c r="T15" s="346">
        <f>T6/AVERAGE(R10:T10)</f>
        <v>0.36880250848355872</v>
      </c>
      <c r="U15" s="330"/>
      <c r="V15" s="331">
        <f>(R15/B15)^(1/10)-1</f>
        <v>0.50842280460488065</v>
      </c>
      <c r="W15" s="330"/>
    </row>
    <row r="16" spans="1:23" s="272" customFormat="1" x14ac:dyDescent="0.2">
      <c r="A16" s="268" t="s">
        <v>498</v>
      </c>
      <c r="B16" s="339">
        <f>B5/B10</f>
        <v>0.14172057825954157</v>
      </c>
      <c r="C16" s="339">
        <f t="shared" ref="C16:S16" si="8">C5/AVERAGE(B10:C10)</f>
        <v>0.29109066796223471</v>
      </c>
      <c r="D16" s="339">
        <f t="shared" si="8"/>
        <v>0.8545619097455458</v>
      </c>
      <c r="E16" s="339">
        <f t="shared" si="8"/>
        <v>0.9427753567864271</v>
      </c>
      <c r="F16" s="339">
        <f t="shared" si="8"/>
        <v>1.050538149435216</v>
      </c>
      <c r="G16" s="339">
        <f t="shared" si="8"/>
        <v>1.2225949459362968</v>
      </c>
      <c r="H16" s="339">
        <f t="shared" si="8"/>
        <v>1.6207705787996785</v>
      </c>
      <c r="I16" s="339">
        <f t="shared" si="8"/>
        <v>2.7417979411270101</v>
      </c>
      <c r="J16" s="339">
        <f t="shared" si="8"/>
        <v>1.412017691959865</v>
      </c>
      <c r="K16" s="346">
        <f t="shared" ref="K16" si="9">K5/AVERAGE(J10:K10)</f>
        <v>0.4857838068979663</v>
      </c>
      <c r="L16" s="346">
        <f>L5/AVERAGE(J10:L10)</f>
        <v>1.3013237754721916</v>
      </c>
      <c r="M16" s="346">
        <f>M5/AVERAGE(J10:M10)</f>
        <v>2.3255166989230895</v>
      </c>
      <c r="N16" s="339">
        <f>N5/AVERAGE(J10:N10)</f>
        <v>3.2128769426442405</v>
      </c>
      <c r="O16" s="346">
        <f>O5/AVERAGE(N10:O10)</f>
        <v>0.5825278597332757</v>
      </c>
      <c r="P16" s="346">
        <f>P5/AVERAGE(N10:P10)</f>
        <v>1.511562859444272</v>
      </c>
      <c r="Q16" s="346">
        <f>Q5/AVERAGE(N10:Q10)</f>
        <v>2.6783485534751841</v>
      </c>
      <c r="R16" s="339">
        <f>R5/AVERAGE(N10:R10)</f>
        <v>3.6752391476910633</v>
      </c>
      <c r="S16" s="346">
        <f t="shared" si="8"/>
        <v>0.64427055528867327</v>
      </c>
      <c r="T16" s="346">
        <f>T5/AVERAGE(R10:T10)</f>
        <v>0.80338715991678489</v>
      </c>
      <c r="U16" s="330"/>
      <c r="V16" s="331">
        <f>(R16/B16)^(1/10)-1</f>
        <v>0.38479430497294276</v>
      </c>
      <c r="W16" s="330"/>
    </row>
    <row r="17" spans="1:22" s="272" customFormat="1" x14ac:dyDescent="0.2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338"/>
      <c r="L17" s="338"/>
      <c r="M17" s="338"/>
      <c r="N17" s="268"/>
      <c r="O17" s="338"/>
      <c r="P17" s="338"/>
      <c r="Q17" s="338"/>
      <c r="R17" s="268"/>
      <c r="S17" s="338"/>
      <c r="T17" s="338"/>
    </row>
    <row r="18" spans="1:22" s="342" customFormat="1" x14ac:dyDescent="0.2">
      <c r="A18" s="212" t="s">
        <v>467</v>
      </c>
      <c r="B18" s="134">
        <f>Sovcombank!N544</f>
        <v>7.9902559147710106E-2</v>
      </c>
      <c r="C18" s="134">
        <f>Sovcombank!P544</f>
        <v>0.9558055825042997</v>
      </c>
      <c r="D18" s="134">
        <f>Sovcombank!R544</f>
        <v>0.72445012897987338</v>
      </c>
      <c r="E18" s="134">
        <f>Sovcombank!T545</f>
        <v>0.41195564347608038</v>
      </c>
      <c r="F18" s="134">
        <f>Sovcombank!X545</f>
        <v>0.18249981800975468</v>
      </c>
      <c r="G18" s="134">
        <f>Sovcombank!AB545</f>
        <v>0.24961162507991083</v>
      </c>
      <c r="H18" s="134">
        <f>Sovcombank!AF545</f>
        <v>0.28832363207901046</v>
      </c>
      <c r="I18" s="134">
        <f>Sovcombank!AJ545</f>
        <v>0.27493611796329687</v>
      </c>
      <c r="J18" s="252">
        <f>Sovcombank!AN545</f>
        <v>-0.1203652606024805</v>
      </c>
      <c r="K18" s="347">
        <f>Sovcombank!AO545</f>
        <v>0.51785509506662686</v>
      </c>
      <c r="L18" s="347">
        <f>Sovcombank!AP545</f>
        <v>0.55174071423230175</v>
      </c>
      <c r="M18" s="347">
        <f>Sovcombank!AQ545</f>
        <v>0.51417162444248687</v>
      </c>
      <c r="N18" s="134">
        <f>Sovcombank!AR545</f>
        <v>0.45040459447188502</v>
      </c>
      <c r="O18" s="347">
        <f>Sovcombank!AS545</f>
        <v>0.35609461832896472</v>
      </c>
      <c r="P18" s="347">
        <f>Sovcombank!AT545</f>
        <v>0.26858486017636496</v>
      </c>
      <c r="Q18" s="347">
        <f>Sovcombank!AU545</f>
        <v>0.25586940338731567</v>
      </c>
      <c r="R18" s="134">
        <f>Sovcombank!AV545</f>
        <v>0.25615428292455134</v>
      </c>
      <c r="S18" s="347">
        <f>Sovcombank!AW545</f>
        <v>0.14715083077537078</v>
      </c>
      <c r="T18" s="347">
        <f>Sovcombank!AX545</f>
        <v>0.10165484405255712</v>
      </c>
      <c r="U18" s="340"/>
      <c r="V18" s="341">
        <f>AVERAGE(B18,D18,E18,F18,G18,C18,H18,I18,J18,N18,R18)</f>
        <v>0.34124352036671746</v>
      </c>
    </row>
    <row r="27" spans="1:22" x14ac:dyDescent="0.2">
      <c r="S27" s="247"/>
      <c r="T27" s="247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Sovcombank</vt:lpstr>
      <vt:lpstr>NIM</vt:lpstr>
      <vt:lpstr>COR</vt:lpstr>
      <vt:lpstr>COF</vt:lpstr>
      <vt:lpstr>Yield</vt:lpstr>
      <vt:lpstr>Stage 3</vt:lpstr>
      <vt:lpstr>Per Share</vt:lpstr>
      <vt:lpstr>Sovcombank!Область_печати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Dudica, Santa [ICG-CIB]</dc:creator>
  <cp:lastModifiedBy>Голицына Дарья Дмитриевна</cp:lastModifiedBy>
  <cp:lastPrinted>2019-08-10T19:39:06Z</cp:lastPrinted>
  <dcterms:created xsi:type="dcterms:W3CDTF">2017-07-18T10:56:13Z</dcterms:created>
  <dcterms:modified xsi:type="dcterms:W3CDTF">2025-08-19T14:14:15Z</dcterms:modified>
</cp:coreProperties>
</file>